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cocp1mmfs01.maxcorp.maximus\Marketing\Human_Services\06_Public_Relations\Blogs\2019\1911_Federal Funding Formula Refresh\"/>
    </mc:Choice>
  </mc:AlternateContent>
  <xr:revisionPtr revIDLastSave="0" documentId="13_ncr:1_{7203E46B-E504-4D00-AE3D-7D557253F01C}" xr6:coauthVersionLast="45" xr6:coauthVersionMax="45" xr10:uidLastSave="{00000000-0000-0000-0000-000000000000}"/>
  <bookViews>
    <workbookView xWindow="-108" yWindow="-108" windowWidth="23256" windowHeight="12576" xr2:uid="{00000000-000D-0000-FFFF-FFFF00000000}"/>
  </bookViews>
  <sheets>
    <sheet name="Projections" sheetId="4" r:id="rId1"/>
    <sheet name="Model" sheetId="5" r:id="rId2"/>
    <sheet name="State Performance Input Sheet" sheetId="6" state="hidden" r:id="rId3"/>
    <sheet name="State Collections input sheet" sheetId="7" state="hidden" r:id="rId4"/>
    <sheet name="National Incentive Pool" sheetId="8" r:id="rId5"/>
    <sheet name="Scoring Sheet" sheetId="9" state="hidden" r:id="rId6"/>
  </sheets>
  <definedNames>
    <definedName name="_xlnm.Print_Area" localSheetId="2">'State Performance Input Sheet'!$A$4:$H$59</definedName>
    <definedName name="_xlnm.Print_Titles" localSheetId="0">Projections!$1:$14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8" l="1"/>
  <c r="B1" i="8" s="1"/>
  <c r="B25" i="4" s="1"/>
  <c r="K63" i="5" s="1"/>
  <c r="E5" i="8"/>
  <c r="E6" i="8"/>
  <c r="E7" i="8"/>
  <c r="E8" i="8"/>
  <c r="E9" i="8"/>
  <c r="E10" i="8"/>
  <c r="E11" i="8"/>
  <c r="E12" i="8"/>
  <c r="E18" i="8" s="1"/>
  <c r="B18" i="8" s="1"/>
  <c r="E13" i="8"/>
  <c r="E14" i="8"/>
  <c r="A1" i="7"/>
  <c r="C1" i="7" s="1"/>
  <c r="A1" i="6"/>
  <c r="B1" i="6" s="1"/>
  <c r="E6" i="6"/>
  <c r="O6" i="6"/>
  <c r="F6" i="6" s="1"/>
  <c r="P6" i="6"/>
  <c r="Q6" i="6"/>
  <c r="R6" i="6"/>
  <c r="S6" i="6"/>
  <c r="W6" i="6"/>
  <c r="AA6" i="6"/>
  <c r="AZ6" i="6"/>
  <c r="BA6" i="6"/>
  <c r="BF6" i="6" s="1"/>
  <c r="BH6" i="6" s="1"/>
  <c r="BB6" i="6"/>
  <c r="BC6" i="6"/>
  <c r="BD6" i="6"/>
  <c r="BE6" i="6"/>
  <c r="BG6" i="6"/>
  <c r="BK6" i="6"/>
  <c r="E7" i="6"/>
  <c r="O7" i="6"/>
  <c r="F7" i="6" s="1"/>
  <c r="E5" i="5" s="1"/>
  <c r="P7" i="6"/>
  <c r="Q7" i="6"/>
  <c r="R7" i="6"/>
  <c r="S7" i="6"/>
  <c r="W7" i="6"/>
  <c r="AA7" i="6"/>
  <c r="AZ7" i="6"/>
  <c r="BA7" i="6"/>
  <c r="BB7" i="6"/>
  <c r="BC7" i="6"/>
  <c r="BD7" i="6"/>
  <c r="BE7" i="6"/>
  <c r="BG7" i="6"/>
  <c r="BK7" i="6"/>
  <c r="E8" i="6"/>
  <c r="O8" i="6"/>
  <c r="F8" i="6" s="1"/>
  <c r="P8" i="6"/>
  <c r="Q8" i="6"/>
  <c r="R8" i="6"/>
  <c r="S8" i="6"/>
  <c r="W8" i="6"/>
  <c r="AA8" i="6"/>
  <c r="AZ8" i="6"/>
  <c r="BA8" i="6"/>
  <c r="BF8" i="6" s="1"/>
  <c r="BH8" i="6" s="1"/>
  <c r="BB8" i="6"/>
  <c r="BC8" i="6"/>
  <c r="BD8" i="6"/>
  <c r="BE8" i="6"/>
  <c r="BG8" i="6"/>
  <c r="BI8" i="6"/>
  <c r="BK8" i="6"/>
  <c r="E9" i="6"/>
  <c r="O9" i="6"/>
  <c r="F9" i="6" s="1"/>
  <c r="P9" i="6"/>
  <c r="Q9" i="6"/>
  <c r="R9" i="6"/>
  <c r="S9" i="6"/>
  <c r="W9" i="6"/>
  <c r="AA9" i="6"/>
  <c r="AZ9" i="6"/>
  <c r="BA9" i="6"/>
  <c r="BF9" i="6" s="1"/>
  <c r="BH9" i="6" s="1"/>
  <c r="BB9" i="6"/>
  <c r="BC9" i="6"/>
  <c r="BD9" i="6"/>
  <c r="BE9" i="6"/>
  <c r="BG9" i="6"/>
  <c r="BI9" i="6"/>
  <c r="BK9" i="6"/>
  <c r="E10" i="6"/>
  <c r="O10" i="6"/>
  <c r="F10" i="6" s="1"/>
  <c r="P10" i="6"/>
  <c r="Q10" i="6"/>
  <c r="R10" i="6"/>
  <c r="S10" i="6"/>
  <c r="W10" i="6"/>
  <c r="AA10" i="6"/>
  <c r="AZ10" i="6"/>
  <c r="BA10" i="6"/>
  <c r="BF10" i="6" s="1"/>
  <c r="BH10" i="6" s="1"/>
  <c r="BB10" i="6"/>
  <c r="BC10" i="6"/>
  <c r="BD10" i="6"/>
  <c r="BE10" i="6"/>
  <c r="BG10" i="6"/>
  <c r="BK10" i="6"/>
  <c r="E11" i="6"/>
  <c r="O11" i="6"/>
  <c r="F11" i="6" s="1"/>
  <c r="E9" i="5" s="1"/>
  <c r="P11" i="6"/>
  <c r="Q11" i="6"/>
  <c r="R11" i="6"/>
  <c r="S11" i="6"/>
  <c r="W11" i="6"/>
  <c r="AA11" i="6"/>
  <c r="AZ11" i="6"/>
  <c r="BA11" i="6"/>
  <c r="BB11" i="6"/>
  <c r="BC11" i="6"/>
  <c r="BD11" i="6"/>
  <c r="BE11" i="6"/>
  <c r="BG11" i="6"/>
  <c r="BK11" i="6"/>
  <c r="E12" i="6"/>
  <c r="O12" i="6"/>
  <c r="F12" i="6" s="1"/>
  <c r="P12" i="6"/>
  <c r="Q12" i="6"/>
  <c r="R12" i="6"/>
  <c r="S12" i="6"/>
  <c r="W12" i="6"/>
  <c r="AA12" i="6"/>
  <c r="AZ12" i="6"/>
  <c r="BA12" i="6"/>
  <c r="BF12" i="6" s="1"/>
  <c r="BH12" i="6" s="1"/>
  <c r="BB12" i="6"/>
  <c r="BC12" i="6"/>
  <c r="BD12" i="6"/>
  <c r="BE12" i="6"/>
  <c r="BG12" i="6"/>
  <c r="BI12" i="6"/>
  <c r="BK12" i="6"/>
  <c r="E13" i="6"/>
  <c r="O13" i="6"/>
  <c r="F13" i="6" s="1"/>
  <c r="P13" i="6"/>
  <c r="Q13" i="6"/>
  <c r="R13" i="6"/>
  <c r="S13" i="6"/>
  <c r="W13" i="6"/>
  <c r="AA13" i="6"/>
  <c r="AZ13" i="6"/>
  <c r="BA13" i="6"/>
  <c r="BF13" i="6" s="1"/>
  <c r="BH13" i="6" s="1"/>
  <c r="BB13" i="6"/>
  <c r="BC13" i="6"/>
  <c r="BD13" i="6"/>
  <c r="BE13" i="6"/>
  <c r="BG13" i="6"/>
  <c r="BI13" i="6"/>
  <c r="BK13" i="6"/>
  <c r="E14" i="6"/>
  <c r="O14" i="6"/>
  <c r="F14" i="6" s="1"/>
  <c r="P14" i="6"/>
  <c r="Q14" i="6"/>
  <c r="R14" i="6"/>
  <c r="S14" i="6"/>
  <c r="W14" i="6"/>
  <c r="AA14" i="6"/>
  <c r="AZ14" i="6"/>
  <c r="BA14" i="6"/>
  <c r="BF14" i="6" s="1"/>
  <c r="BH14" i="6" s="1"/>
  <c r="BB14" i="6"/>
  <c r="BC14" i="6"/>
  <c r="BD14" i="6"/>
  <c r="BE14" i="6"/>
  <c r="BG14" i="6"/>
  <c r="BK14" i="6"/>
  <c r="E15" i="6"/>
  <c r="O15" i="6"/>
  <c r="F15" i="6" s="1"/>
  <c r="E13" i="5" s="1"/>
  <c r="P15" i="6"/>
  <c r="Q15" i="6"/>
  <c r="R15" i="6"/>
  <c r="S15" i="6"/>
  <c r="W15" i="6"/>
  <c r="AA15" i="6"/>
  <c r="AZ15" i="6"/>
  <c r="BA15" i="6"/>
  <c r="BB15" i="6"/>
  <c r="BC15" i="6"/>
  <c r="BD15" i="6"/>
  <c r="BE15" i="6"/>
  <c r="BG15" i="6"/>
  <c r="BK15" i="6"/>
  <c r="E16" i="6"/>
  <c r="O16" i="6"/>
  <c r="F16" i="6" s="1"/>
  <c r="P16" i="6"/>
  <c r="Q16" i="6"/>
  <c r="R16" i="6"/>
  <c r="S16" i="6"/>
  <c r="W16" i="6"/>
  <c r="AA16" i="6"/>
  <c r="AZ16" i="6"/>
  <c r="BA16" i="6"/>
  <c r="BF16" i="6" s="1"/>
  <c r="BH16" i="6" s="1"/>
  <c r="BB16" i="6"/>
  <c r="BC16" i="6"/>
  <c r="BD16" i="6"/>
  <c r="BE16" i="6"/>
  <c r="BG16" i="6"/>
  <c r="BI16" i="6"/>
  <c r="BK16" i="6"/>
  <c r="O17" i="6"/>
  <c r="P17" i="6"/>
  <c r="Q17" i="6"/>
  <c r="R17" i="6"/>
  <c r="W17" i="6"/>
  <c r="AA17" i="6"/>
  <c r="S17" i="6" s="1"/>
  <c r="AZ17" i="6"/>
  <c r="BF17" i="6" s="1"/>
  <c r="BH17" i="6" s="1"/>
  <c r="BA17" i="6"/>
  <c r="BB17" i="6"/>
  <c r="BC17" i="6"/>
  <c r="BI17" i="6" s="1"/>
  <c r="BD17" i="6"/>
  <c r="BE17" i="6"/>
  <c r="BG17" i="6"/>
  <c r="BK17" i="6"/>
  <c r="E18" i="6"/>
  <c r="O18" i="6"/>
  <c r="F18" i="6" s="1"/>
  <c r="P18" i="6"/>
  <c r="Q18" i="6"/>
  <c r="R18" i="6"/>
  <c r="W18" i="6"/>
  <c r="AA18" i="6"/>
  <c r="S18" i="6" s="1"/>
  <c r="AZ18" i="6"/>
  <c r="BF18" i="6" s="1"/>
  <c r="BA18" i="6"/>
  <c r="BB18" i="6"/>
  <c r="BC18" i="6"/>
  <c r="BI18" i="6" s="1"/>
  <c r="BD18" i="6"/>
  <c r="BE18" i="6"/>
  <c r="BG18" i="6"/>
  <c r="BK18" i="6"/>
  <c r="E19" i="6"/>
  <c r="O19" i="6"/>
  <c r="F19" i="6" s="1"/>
  <c r="P19" i="6"/>
  <c r="Q19" i="6"/>
  <c r="R19" i="6"/>
  <c r="W19" i="6"/>
  <c r="AA19" i="6"/>
  <c r="S19" i="6" s="1"/>
  <c r="AZ19" i="6"/>
  <c r="BF19" i="6" s="1"/>
  <c r="BA19" i="6"/>
  <c r="BB19" i="6"/>
  <c r="BC19" i="6"/>
  <c r="BI19" i="6" s="1"/>
  <c r="BD19" i="6"/>
  <c r="BE19" i="6"/>
  <c r="BG19" i="6"/>
  <c r="BK19" i="6"/>
  <c r="E20" i="6"/>
  <c r="O20" i="6"/>
  <c r="F20" i="6" s="1"/>
  <c r="P20" i="6"/>
  <c r="Q20" i="6"/>
  <c r="R20" i="6"/>
  <c r="W20" i="6"/>
  <c r="AA20" i="6"/>
  <c r="S20" i="6" s="1"/>
  <c r="AZ20" i="6"/>
  <c r="BF20" i="6" s="1"/>
  <c r="BH20" i="6" s="1"/>
  <c r="BA20" i="6"/>
  <c r="BB20" i="6"/>
  <c r="BC20" i="6"/>
  <c r="BI20" i="6" s="1"/>
  <c r="BD20" i="6"/>
  <c r="BE20" i="6"/>
  <c r="BG20" i="6"/>
  <c r="BK20" i="6"/>
  <c r="E21" i="6"/>
  <c r="D19" i="5" s="1"/>
  <c r="O21" i="6"/>
  <c r="F21" i="6" s="1"/>
  <c r="P21" i="6"/>
  <c r="Q21" i="6"/>
  <c r="R21" i="6"/>
  <c r="W21" i="6"/>
  <c r="AA21" i="6"/>
  <c r="S21" i="6" s="1"/>
  <c r="AZ21" i="6"/>
  <c r="BF21" i="6" s="1"/>
  <c r="BH21" i="6" s="1"/>
  <c r="BA21" i="6"/>
  <c r="BB21" i="6"/>
  <c r="BC21" i="6"/>
  <c r="BI21" i="6" s="1"/>
  <c r="BD21" i="6"/>
  <c r="BE21" i="6"/>
  <c r="BG21" i="6"/>
  <c r="BK21" i="6"/>
  <c r="E22" i="6"/>
  <c r="O22" i="6"/>
  <c r="F22" i="6" s="1"/>
  <c r="P22" i="6"/>
  <c r="Q22" i="6"/>
  <c r="R22" i="6"/>
  <c r="W22" i="6"/>
  <c r="AA22" i="6"/>
  <c r="S22" i="6" s="1"/>
  <c r="AZ22" i="6"/>
  <c r="BF22" i="6" s="1"/>
  <c r="BA22" i="6"/>
  <c r="BB22" i="6"/>
  <c r="BC22" i="6"/>
  <c r="BI22" i="6" s="1"/>
  <c r="BD22" i="6"/>
  <c r="BE22" i="6"/>
  <c r="BG22" i="6"/>
  <c r="BK22" i="6"/>
  <c r="E23" i="6"/>
  <c r="O23" i="6"/>
  <c r="F23" i="6" s="1"/>
  <c r="E21" i="5" s="1"/>
  <c r="P23" i="6"/>
  <c r="Q23" i="6"/>
  <c r="R23" i="6"/>
  <c r="W23" i="6"/>
  <c r="AA23" i="6"/>
  <c r="S23" i="6" s="1"/>
  <c r="AZ23" i="6"/>
  <c r="BF23" i="6" s="1"/>
  <c r="BA23" i="6"/>
  <c r="BB23" i="6"/>
  <c r="BC23" i="6"/>
  <c r="BI23" i="6" s="1"/>
  <c r="BD23" i="6"/>
  <c r="BE23" i="6"/>
  <c r="BG23" i="6"/>
  <c r="BK23" i="6"/>
  <c r="E24" i="6"/>
  <c r="O24" i="6"/>
  <c r="F24" i="6" s="1"/>
  <c r="P24" i="6"/>
  <c r="Q24" i="6"/>
  <c r="R24" i="6"/>
  <c r="W24" i="6"/>
  <c r="AA24" i="6"/>
  <c r="S24" i="6" s="1"/>
  <c r="AZ24" i="6"/>
  <c r="BF24" i="6" s="1"/>
  <c r="BH24" i="6" s="1"/>
  <c r="BA24" i="6"/>
  <c r="BB24" i="6"/>
  <c r="BC24" i="6"/>
  <c r="BI24" i="6" s="1"/>
  <c r="BD24" i="6"/>
  <c r="BE24" i="6"/>
  <c r="BG24" i="6"/>
  <c r="BK24" i="6"/>
  <c r="E25" i="6"/>
  <c r="D23" i="5" s="1"/>
  <c r="O25" i="6"/>
  <c r="F25" i="6" s="1"/>
  <c r="P25" i="6"/>
  <c r="Q25" i="6"/>
  <c r="R25" i="6"/>
  <c r="W25" i="6"/>
  <c r="AA25" i="6"/>
  <c r="S25" i="6" s="1"/>
  <c r="AZ25" i="6"/>
  <c r="BF25" i="6" s="1"/>
  <c r="BH25" i="6" s="1"/>
  <c r="BA25" i="6"/>
  <c r="BB25" i="6"/>
  <c r="BC25" i="6"/>
  <c r="BI25" i="6" s="1"/>
  <c r="BD25" i="6"/>
  <c r="BE25" i="6"/>
  <c r="BG25" i="6"/>
  <c r="BK25" i="6"/>
  <c r="E26" i="6"/>
  <c r="O26" i="6"/>
  <c r="F26" i="6" s="1"/>
  <c r="P26" i="6"/>
  <c r="Q26" i="6"/>
  <c r="R26" i="6"/>
  <c r="W26" i="6"/>
  <c r="AA26" i="6"/>
  <c r="S26" i="6" s="1"/>
  <c r="AZ26" i="6"/>
  <c r="BF26" i="6" s="1"/>
  <c r="BA26" i="6"/>
  <c r="BB26" i="6"/>
  <c r="BC26" i="6"/>
  <c r="BI26" i="6" s="1"/>
  <c r="BD26" i="6"/>
  <c r="BE26" i="6"/>
  <c r="BG26" i="6"/>
  <c r="BK26" i="6"/>
  <c r="E27" i="6"/>
  <c r="O27" i="6"/>
  <c r="F27" i="6" s="1"/>
  <c r="E25" i="5" s="1"/>
  <c r="P27" i="6"/>
  <c r="Q27" i="6"/>
  <c r="R27" i="6"/>
  <c r="W27" i="6"/>
  <c r="AA27" i="6"/>
  <c r="S27" i="6" s="1"/>
  <c r="AZ27" i="6"/>
  <c r="BF27" i="6" s="1"/>
  <c r="BA27" i="6"/>
  <c r="BB27" i="6"/>
  <c r="BC27" i="6"/>
  <c r="BI27" i="6" s="1"/>
  <c r="BD27" i="6"/>
  <c r="BE27" i="6"/>
  <c r="BG27" i="6"/>
  <c r="BK27" i="6"/>
  <c r="E28" i="6"/>
  <c r="O28" i="6"/>
  <c r="F28" i="6" s="1"/>
  <c r="P28" i="6"/>
  <c r="Q28" i="6"/>
  <c r="R28" i="6"/>
  <c r="W28" i="6"/>
  <c r="AA28" i="6"/>
  <c r="S28" i="6" s="1"/>
  <c r="AZ28" i="6"/>
  <c r="BF28" i="6" s="1"/>
  <c r="BH28" i="6" s="1"/>
  <c r="BA28" i="6"/>
  <c r="BB28" i="6"/>
  <c r="BC28" i="6"/>
  <c r="BI28" i="6" s="1"/>
  <c r="BD28" i="6"/>
  <c r="BE28" i="6"/>
  <c r="BG28" i="6"/>
  <c r="BK28" i="6"/>
  <c r="E29" i="6"/>
  <c r="D27" i="5" s="1"/>
  <c r="O29" i="6"/>
  <c r="F29" i="6" s="1"/>
  <c r="P29" i="6"/>
  <c r="Q29" i="6"/>
  <c r="R29" i="6"/>
  <c r="W29" i="6"/>
  <c r="AA29" i="6"/>
  <c r="S29" i="6" s="1"/>
  <c r="AZ29" i="6"/>
  <c r="BF29" i="6" s="1"/>
  <c r="BH29" i="6" s="1"/>
  <c r="BA29" i="6"/>
  <c r="BB29" i="6"/>
  <c r="BC29" i="6"/>
  <c r="BI29" i="6" s="1"/>
  <c r="BD29" i="6"/>
  <c r="BE29" i="6"/>
  <c r="BG29" i="6"/>
  <c r="BK29" i="6"/>
  <c r="E30" i="6"/>
  <c r="O30" i="6"/>
  <c r="F30" i="6" s="1"/>
  <c r="P30" i="6"/>
  <c r="Q30" i="6"/>
  <c r="R30" i="6"/>
  <c r="W30" i="6"/>
  <c r="AA30" i="6"/>
  <c r="S30" i="6" s="1"/>
  <c r="AZ30" i="6"/>
  <c r="BF30" i="6" s="1"/>
  <c r="BA30" i="6"/>
  <c r="BB30" i="6"/>
  <c r="BC30" i="6"/>
  <c r="BI30" i="6" s="1"/>
  <c r="BD30" i="6"/>
  <c r="BE30" i="6"/>
  <c r="BG30" i="6"/>
  <c r="BK30" i="6"/>
  <c r="E31" i="6"/>
  <c r="O31" i="6"/>
  <c r="F31" i="6" s="1"/>
  <c r="E29" i="5" s="1"/>
  <c r="P31" i="6"/>
  <c r="Q31" i="6"/>
  <c r="R31" i="6"/>
  <c r="W31" i="6"/>
  <c r="AA31" i="6"/>
  <c r="S31" i="6" s="1"/>
  <c r="AZ31" i="6"/>
  <c r="BF31" i="6" s="1"/>
  <c r="BA31" i="6"/>
  <c r="BB31" i="6"/>
  <c r="BC31" i="6"/>
  <c r="BI31" i="6" s="1"/>
  <c r="BD31" i="6"/>
  <c r="BE31" i="6"/>
  <c r="BG31" i="6"/>
  <c r="BK31" i="6"/>
  <c r="E32" i="6"/>
  <c r="O32" i="6"/>
  <c r="F32" i="6" s="1"/>
  <c r="P32" i="6"/>
  <c r="Q32" i="6"/>
  <c r="R32" i="6"/>
  <c r="W32" i="6"/>
  <c r="AA32" i="6"/>
  <c r="S32" i="6" s="1"/>
  <c r="AZ32" i="6"/>
  <c r="BF32" i="6" s="1"/>
  <c r="BH32" i="6" s="1"/>
  <c r="BA32" i="6"/>
  <c r="BB32" i="6"/>
  <c r="BC32" i="6"/>
  <c r="BI32" i="6" s="1"/>
  <c r="BD32" i="6"/>
  <c r="BE32" i="6"/>
  <c r="BG32" i="6"/>
  <c r="BK32" i="6"/>
  <c r="E33" i="6"/>
  <c r="D31" i="5" s="1"/>
  <c r="O33" i="6"/>
  <c r="F33" i="6" s="1"/>
  <c r="P33" i="6"/>
  <c r="Q33" i="6"/>
  <c r="R33" i="6"/>
  <c r="W33" i="6"/>
  <c r="AA33" i="6"/>
  <c r="S33" i="6" s="1"/>
  <c r="AZ33" i="6"/>
  <c r="BF33" i="6" s="1"/>
  <c r="BH33" i="6" s="1"/>
  <c r="BA33" i="6"/>
  <c r="BB33" i="6"/>
  <c r="BC33" i="6"/>
  <c r="BI33" i="6" s="1"/>
  <c r="BD33" i="6"/>
  <c r="BE33" i="6"/>
  <c r="BG33" i="6"/>
  <c r="BK33" i="6"/>
  <c r="E34" i="6"/>
  <c r="O34" i="6"/>
  <c r="F34" i="6" s="1"/>
  <c r="P34" i="6"/>
  <c r="Q34" i="6"/>
  <c r="R34" i="6"/>
  <c r="W34" i="6"/>
  <c r="AA34" i="6"/>
  <c r="S34" i="6" s="1"/>
  <c r="AZ34" i="6"/>
  <c r="BF34" i="6" s="1"/>
  <c r="BA34" i="6"/>
  <c r="BB34" i="6"/>
  <c r="BC34" i="6"/>
  <c r="BD34" i="6"/>
  <c r="BE34" i="6"/>
  <c r="BI34" i="6" s="1"/>
  <c r="BG34" i="6"/>
  <c r="BK34" i="6"/>
  <c r="E35" i="6"/>
  <c r="D33" i="5" s="1"/>
  <c r="O35" i="6"/>
  <c r="F35" i="6" s="1"/>
  <c r="E33" i="5" s="1"/>
  <c r="P35" i="6"/>
  <c r="Q35" i="6"/>
  <c r="R35" i="6"/>
  <c r="S35" i="6"/>
  <c r="W35" i="6"/>
  <c r="AA35" i="6"/>
  <c r="AZ35" i="6"/>
  <c r="BF35" i="6" s="1"/>
  <c r="BH35" i="6" s="1"/>
  <c r="BA35" i="6"/>
  <c r="BB35" i="6"/>
  <c r="BC35" i="6"/>
  <c r="BD35" i="6"/>
  <c r="BE35" i="6"/>
  <c r="BG35" i="6"/>
  <c r="BK35" i="6"/>
  <c r="E36" i="6"/>
  <c r="D34" i="5" s="1"/>
  <c r="H34" i="5" s="1"/>
  <c r="O36" i="6"/>
  <c r="F36" i="6" s="1"/>
  <c r="P36" i="6"/>
  <c r="Q36" i="6"/>
  <c r="R36" i="6"/>
  <c r="W36" i="6"/>
  <c r="AA36" i="6"/>
  <c r="S36" i="6" s="1"/>
  <c r="AZ36" i="6"/>
  <c r="BF36" i="6" s="1"/>
  <c r="BH36" i="6" s="1"/>
  <c r="BA36" i="6"/>
  <c r="BB36" i="6"/>
  <c r="BC36" i="6"/>
  <c r="BD36" i="6"/>
  <c r="BE36" i="6"/>
  <c r="BG36" i="6"/>
  <c r="BI36" i="6"/>
  <c r="BK36" i="6"/>
  <c r="E37" i="6"/>
  <c r="O37" i="6"/>
  <c r="F37" i="6" s="1"/>
  <c r="P37" i="6"/>
  <c r="Q37" i="6"/>
  <c r="R37" i="6"/>
  <c r="W37" i="6"/>
  <c r="AA37" i="6"/>
  <c r="S37" i="6" s="1"/>
  <c r="AZ37" i="6"/>
  <c r="BF37" i="6" s="1"/>
  <c r="BA37" i="6"/>
  <c r="BB37" i="6"/>
  <c r="BC37" i="6"/>
  <c r="BD37" i="6"/>
  <c r="BE37" i="6"/>
  <c r="BG37" i="6"/>
  <c r="BI37" i="6"/>
  <c r="BK37" i="6"/>
  <c r="E38" i="6"/>
  <c r="O38" i="6"/>
  <c r="F38" i="6" s="1"/>
  <c r="P38" i="6"/>
  <c r="Q38" i="6"/>
  <c r="R38" i="6"/>
  <c r="S38" i="6"/>
  <c r="W38" i="6"/>
  <c r="AA38" i="6"/>
  <c r="AZ38" i="6"/>
  <c r="BA38" i="6"/>
  <c r="BB38" i="6"/>
  <c r="BC38" i="6"/>
  <c r="BD38" i="6"/>
  <c r="BE38" i="6"/>
  <c r="BG38" i="6"/>
  <c r="BK38" i="6"/>
  <c r="E39" i="6"/>
  <c r="D37" i="5" s="1"/>
  <c r="O39" i="6"/>
  <c r="F39" i="6" s="1"/>
  <c r="E37" i="5" s="1"/>
  <c r="P39" i="6"/>
  <c r="Q39" i="6"/>
  <c r="R39" i="6"/>
  <c r="S39" i="6"/>
  <c r="W39" i="6"/>
  <c r="AA39" i="6"/>
  <c r="AZ39" i="6"/>
  <c r="BF39" i="6" s="1"/>
  <c r="BH39" i="6" s="1"/>
  <c r="BA39" i="6"/>
  <c r="BB39" i="6"/>
  <c r="BC39" i="6"/>
  <c r="BD39" i="6"/>
  <c r="BE39" i="6"/>
  <c r="BG39" i="6"/>
  <c r="BK39" i="6"/>
  <c r="E40" i="6"/>
  <c r="D38" i="5" s="1"/>
  <c r="H38" i="5" s="1"/>
  <c r="O40" i="6"/>
  <c r="F40" i="6" s="1"/>
  <c r="P40" i="6"/>
  <c r="Q40" i="6"/>
  <c r="R40" i="6"/>
  <c r="W40" i="6"/>
  <c r="AA40" i="6"/>
  <c r="S40" i="6" s="1"/>
  <c r="AZ40" i="6"/>
  <c r="BF40" i="6" s="1"/>
  <c r="BH40" i="6" s="1"/>
  <c r="BA40" i="6"/>
  <c r="BB40" i="6"/>
  <c r="BC40" i="6"/>
  <c r="BD40" i="6"/>
  <c r="BE40" i="6"/>
  <c r="BG40" i="6"/>
  <c r="BI40" i="6"/>
  <c r="BK40" i="6"/>
  <c r="E41" i="6"/>
  <c r="O41" i="6"/>
  <c r="F41" i="6" s="1"/>
  <c r="P41" i="6"/>
  <c r="Q41" i="6"/>
  <c r="R41" i="6"/>
  <c r="W41" i="6"/>
  <c r="AA41" i="6"/>
  <c r="S41" i="6" s="1"/>
  <c r="AZ41" i="6"/>
  <c r="BF41" i="6" s="1"/>
  <c r="BA41" i="6"/>
  <c r="BB41" i="6"/>
  <c r="BC41" i="6"/>
  <c r="BD41" i="6"/>
  <c r="BE41" i="6"/>
  <c r="BG41" i="6"/>
  <c r="BI41" i="6"/>
  <c r="BK41" i="6"/>
  <c r="E42" i="6"/>
  <c r="O42" i="6"/>
  <c r="F42" i="6" s="1"/>
  <c r="P42" i="6"/>
  <c r="Q42" i="6"/>
  <c r="R42" i="6"/>
  <c r="S42" i="6"/>
  <c r="W42" i="6"/>
  <c r="AA42" i="6"/>
  <c r="AZ42" i="6"/>
  <c r="BA42" i="6"/>
  <c r="BB42" i="6"/>
  <c r="BC42" i="6"/>
  <c r="BD42" i="6"/>
  <c r="BE42" i="6"/>
  <c r="BG42" i="6"/>
  <c r="BK42" i="6"/>
  <c r="E43" i="6"/>
  <c r="D41" i="5" s="1"/>
  <c r="O43" i="6"/>
  <c r="F43" i="6" s="1"/>
  <c r="P43" i="6"/>
  <c r="Q43" i="6"/>
  <c r="R43" i="6"/>
  <c r="S43" i="6"/>
  <c r="W43" i="6"/>
  <c r="AA43" i="6"/>
  <c r="AZ43" i="6"/>
  <c r="BF43" i="6" s="1"/>
  <c r="BH43" i="6" s="1"/>
  <c r="BA43" i="6"/>
  <c r="BB43" i="6"/>
  <c r="BC43" i="6"/>
  <c r="BD43" i="6"/>
  <c r="BE43" i="6"/>
  <c r="BG43" i="6"/>
  <c r="BK43" i="6"/>
  <c r="E44" i="6"/>
  <c r="D42" i="5" s="1"/>
  <c r="O44" i="6"/>
  <c r="F44" i="6" s="1"/>
  <c r="P44" i="6"/>
  <c r="Q44" i="6"/>
  <c r="R44" i="6"/>
  <c r="W44" i="6"/>
  <c r="AA44" i="6"/>
  <c r="S44" i="6" s="1"/>
  <c r="AZ44" i="6"/>
  <c r="BF44" i="6" s="1"/>
  <c r="BH44" i="6" s="1"/>
  <c r="BA44" i="6"/>
  <c r="BB44" i="6"/>
  <c r="BC44" i="6"/>
  <c r="BD44" i="6"/>
  <c r="BE44" i="6"/>
  <c r="BG44" i="6"/>
  <c r="BI44" i="6"/>
  <c r="BK44" i="6"/>
  <c r="E45" i="6"/>
  <c r="O45" i="6"/>
  <c r="F45" i="6" s="1"/>
  <c r="P45" i="6"/>
  <c r="Q45" i="6"/>
  <c r="R45" i="6"/>
  <c r="W45" i="6"/>
  <c r="AA45" i="6"/>
  <c r="S45" i="6" s="1"/>
  <c r="AZ45" i="6"/>
  <c r="BF45" i="6" s="1"/>
  <c r="BA45" i="6"/>
  <c r="BB45" i="6"/>
  <c r="BC45" i="6"/>
  <c r="BD45" i="6"/>
  <c r="BE45" i="6"/>
  <c r="BG45" i="6"/>
  <c r="BI45" i="6"/>
  <c r="BK45" i="6"/>
  <c r="O46" i="6"/>
  <c r="P46" i="6"/>
  <c r="Q46" i="6"/>
  <c r="R46" i="6"/>
  <c r="W46" i="6"/>
  <c r="AA46" i="6"/>
  <c r="S46" i="6" s="1"/>
  <c r="BK46" i="6"/>
  <c r="E47" i="6"/>
  <c r="F47" i="6"/>
  <c r="O47" i="6"/>
  <c r="P47" i="6"/>
  <c r="Q47" i="6"/>
  <c r="R47" i="6"/>
  <c r="S47" i="6"/>
  <c r="W47" i="6"/>
  <c r="AA47" i="6"/>
  <c r="AZ47" i="6"/>
  <c r="BF47" i="6" s="1"/>
  <c r="BH47" i="6" s="1"/>
  <c r="BA47" i="6"/>
  <c r="BB47" i="6"/>
  <c r="BC47" i="6"/>
  <c r="BD47" i="6"/>
  <c r="BE47" i="6"/>
  <c r="BG47" i="6"/>
  <c r="BK47" i="6"/>
  <c r="E48" i="6"/>
  <c r="O48" i="6"/>
  <c r="F48" i="6" s="1"/>
  <c r="P48" i="6"/>
  <c r="Q48" i="6"/>
  <c r="R48" i="6"/>
  <c r="S48" i="6"/>
  <c r="W48" i="6"/>
  <c r="AA48" i="6"/>
  <c r="AZ48" i="6"/>
  <c r="BA48" i="6"/>
  <c r="BB48" i="6"/>
  <c r="BC48" i="6"/>
  <c r="BD48" i="6"/>
  <c r="BE48" i="6"/>
  <c r="BG48" i="6"/>
  <c r="BK48" i="6"/>
  <c r="E49" i="6"/>
  <c r="O49" i="6"/>
  <c r="F49" i="6" s="1"/>
  <c r="P49" i="6"/>
  <c r="Q49" i="6"/>
  <c r="R49" i="6"/>
  <c r="W49" i="6"/>
  <c r="AA49" i="6"/>
  <c r="S49" i="6" s="1"/>
  <c r="AZ49" i="6"/>
  <c r="BF49" i="6" s="1"/>
  <c r="BA49" i="6"/>
  <c r="BB49" i="6"/>
  <c r="BC49" i="6"/>
  <c r="BI49" i="6" s="1"/>
  <c r="BD49" i="6"/>
  <c r="BE49" i="6"/>
  <c r="BG49" i="6"/>
  <c r="BH49" i="6"/>
  <c r="BK49" i="6"/>
  <c r="E50" i="6"/>
  <c r="F50" i="6"/>
  <c r="O50" i="6"/>
  <c r="P50" i="6"/>
  <c r="Q50" i="6"/>
  <c r="R50" i="6"/>
  <c r="W50" i="6"/>
  <c r="AA50" i="6"/>
  <c r="S50" i="6" s="1"/>
  <c r="AZ50" i="6"/>
  <c r="BF50" i="6" s="1"/>
  <c r="BA50" i="6"/>
  <c r="BB50" i="6"/>
  <c r="BC50" i="6"/>
  <c r="BI50" i="6" s="1"/>
  <c r="BD50" i="6"/>
  <c r="BE50" i="6"/>
  <c r="BG50" i="6"/>
  <c r="BH50" i="6"/>
  <c r="BK50" i="6"/>
  <c r="E51" i="6"/>
  <c r="F51" i="6"/>
  <c r="O51" i="6"/>
  <c r="P51" i="6"/>
  <c r="Q51" i="6"/>
  <c r="R51" i="6"/>
  <c r="S51" i="6"/>
  <c r="W51" i="6"/>
  <c r="AA51" i="6"/>
  <c r="AZ51" i="6"/>
  <c r="BF51" i="6" s="1"/>
  <c r="BH51" i="6" s="1"/>
  <c r="BA51" i="6"/>
  <c r="BB51" i="6"/>
  <c r="BC51" i="6"/>
  <c r="BD51" i="6"/>
  <c r="BE51" i="6"/>
  <c r="BG51" i="6"/>
  <c r="BK51" i="6"/>
  <c r="E52" i="6"/>
  <c r="O52" i="6"/>
  <c r="F52" i="6" s="1"/>
  <c r="P52" i="6"/>
  <c r="Q52" i="6"/>
  <c r="R52" i="6"/>
  <c r="S52" i="6"/>
  <c r="W52" i="6"/>
  <c r="AA52" i="6"/>
  <c r="AZ52" i="6"/>
  <c r="BA52" i="6"/>
  <c r="BB52" i="6"/>
  <c r="BC52" i="6"/>
  <c r="BD52" i="6"/>
  <c r="BE52" i="6"/>
  <c r="BG52" i="6"/>
  <c r="BK52" i="6"/>
  <c r="E53" i="6"/>
  <c r="O53" i="6"/>
  <c r="P53" i="6"/>
  <c r="Q53" i="6"/>
  <c r="R53" i="6"/>
  <c r="W53" i="6"/>
  <c r="F53" i="6" s="1"/>
  <c r="AA53" i="6"/>
  <c r="S53" i="6" s="1"/>
  <c r="AZ53" i="6"/>
  <c r="BA53" i="6"/>
  <c r="BB53" i="6"/>
  <c r="BC53" i="6"/>
  <c r="BD53" i="6"/>
  <c r="BE53" i="6"/>
  <c r="BF53" i="6"/>
  <c r="BH53" i="6" s="1"/>
  <c r="BG53" i="6"/>
  <c r="BK53" i="6"/>
  <c r="O54" i="6"/>
  <c r="P54" i="6"/>
  <c r="Q54" i="6"/>
  <c r="R54" i="6"/>
  <c r="S54" i="6"/>
  <c r="W54" i="6"/>
  <c r="AA54" i="6"/>
  <c r="BK54" i="6"/>
  <c r="E55" i="6"/>
  <c r="O55" i="6"/>
  <c r="P55" i="6"/>
  <c r="Q55" i="6"/>
  <c r="R55" i="6"/>
  <c r="W55" i="6"/>
  <c r="F55" i="6" s="1"/>
  <c r="AA55" i="6"/>
  <c r="S55" i="6" s="1"/>
  <c r="AZ55" i="6"/>
  <c r="BI55" i="6" s="1"/>
  <c r="BA55" i="6"/>
  <c r="BB55" i="6"/>
  <c r="BC55" i="6"/>
  <c r="BD55" i="6"/>
  <c r="BE55" i="6"/>
  <c r="BF55" i="6"/>
  <c r="BH55" i="6" s="1"/>
  <c r="BG55" i="6"/>
  <c r="BK55" i="6"/>
  <c r="E56" i="6"/>
  <c r="O56" i="6"/>
  <c r="P56" i="6"/>
  <c r="Q56" i="6"/>
  <c r="R56" i="6"/>
  <c r="W56" i="6"/>
  <c r="F56" i="6" s="1"/>
  <c r="AA56" i="6"/>
  <c r="S56" i="6" s="1"/>
  <c r="AZ56" i="6"/>
  <c r="BI56" i="6" s="1"/>
  <c r="BA56" i="6"/>
  <c r="BB56" i="6"/>
  <c r="BC56" i="6"/>
  <c r="BD56" i="6"/>
  <c r="BE56" i="6"/>
  <c r="BF56" i="6"/>
  <c r="BH56" i="6" s="1"/>
  <c r="BG56" i="6"/>
  <c r="BK56" i="6"/>
  <c r="E57" i="6"/>
  <c r="O57" i="6"/>
  <c r="P57" i="6"/>
  <c r="Q57" i="6"/>
  <c r="R57" i="6"/>
  <c r="W57" i="6"/>
  <c r="F57" i="6" s="1"/>
  <c r="AA57" i="6"/>
  <c r="S57" i="6" s="1"/>
  <c r="AZ57" i="6"/>
  <c r="BI57" i="6" s="1"/>
  <c r="BA57" i="6"/>
  <c r="BB57" i="6"/>
  <c r="BC57" i="6"/>
  <c r="BD57" i="6"/>
  <c r="BE57" i="6"/>
  <c r="BF57" i="6"/>
  <c r="BH57" i="6" s="1"/>
  <c r="BG57" i="6"/>
  <c r="BK57" i="6"/>
  <c r="E58" i="6"/>
  <c r="O58" i="6"/>
  <c r="P58" i="6"/>
  <c r="Q58" i="6"/>
  <c r="R58" i="6"/>
  <c r="W58" i="6"/>
  <c r="F58" i="6" s="1"/>
  <c r="AA58" i="6"/>
  <c r="S58" i="6" s="1"/>
  <c r="AZ58" i="6"/>
  <c r="BI58" i="6" s="1"/>
  <c r="BA58" i="6"/>
  <c r="BB58" i="6"/>
  <c r="BC58" i="6"/>
  <c r="BD58" i="6"/>
  <c r="BE58" i="6"/>
  <c r="BF58" i="6"/>
  <c r="BH58" i="6" s="1"/>
  <c r="BG58" i="6"/>
  <c r="BK58" i="6"/>
  <c r="E59" i="6"/>
  <c r="O59" i="6"/>
  <c r="P59" i="6"/>
  <c r="Q59" i="6"/>
  <c r="R59" i="6"/>
  <c r="W59" i="6"/>
  <c r="F59" i="6" s="1"/>
  <c r="AA59" i="6"/>
  <c r="S59" i="6" s="1"/>
  <c r="AZ59" i="6"/>
  <c r="BI59" i="6" s="1"/>
  <c r="BA59" i="6"/>
  <c r="BB59" i="6"/>
  <c r="BC59" i="6"/>
  <c r="BD59" i="6"/>
  <c r="BE59" i="6"/>
  <c r="BF59" i="6"/>
  <c r="BH59" i="6" s="1"/>
  <c r="BG59" i="6"/>
  <c r="BK59" i="6"/>
  <c r="BK60" i="6"/>
  <c r="A1" i="5"/>
  <c r="B18" i="5" s="1"/>
  <c r="C4" i="5"/>
  <c r="D4" i="5"/>
  <c r="E4" i="5"/>
  <c r="H4" i="5" s="1"/>
  <c r="F4" i="5"/>
  <c r="G4" i="5"/>
  <c r="C5" i="5"/>
  <c r="D5" i="5"/>
  <c r="F5" i="5"/>
  <c r="G5" i="5"/>
  <c r="C6" i="5"/>
  <c r="D6" i="5"/>
  <c r="E6" i="5"/>
  <c r="F6" i="5"/>
  <c r="G6" i="5"/>
  <c r="H6" i="5"/>
  <c r="C7" i="5"/>
  <c r="D7" i="5"/>
  <c r="E7" i="5"/>
  <c r="F7" i="5"/>
  <c r="G7" i="5"/>
  <c r="C8" i="5"/>
  <c r="D8" i="5"/>
  <c r="E8" i="5"/>
  <c r="F8" i="5"/>
  <c r="G8" i="5"/>
  <c r="H8" i="5"/>
  <c r="C9" i="5"/>
  <c r="D9" i="5"/>
  <c r="F9" i="5"/>
  <c r="G9" i="5"/>
  <c r="C10" i="5"/>
  <c r="D10" i="5"/>
  <c r="E10" i="5"/>
  <c r="H10" i="5" s="1"/>
  <c r="F10" i="5"/>
  <c r="G10" i="5"/>
  <c r="C11" i="5"/>
  <c r="D11" i="5"/>
  <c r="E11" i="5"/>
  <c r="F11" i="5"/>
  <c r="G11" i="5"/>
  <c r="C12" i="5"/>
  <c r="D12" i="5"/>
  <c r="E12" i="5"/>
  <c r="H12" i="5" s="1"/>
  <c r="F12" i="5"/>
  <c r="G12" i="5"/>
  <c r="C13" i="5"/>
  <c r="H13" i="5" s="1"/>
  <c r="D13" i="5"/>
  <c r="F13" i="5"/>
  <c r="G13" i="5"/>
  <c r="C14" i="5"/>
  <c r="D14" i="5"/>
  <c r="E14" i="5"/>
  <c r="F14" i="5"/>
  <c r="G14" i="5"/>
  <c r="H14" i="5"/>
  <c r="C15" i="5"/>
  <c r="D15" i="5"/>
  <c r="E15" i="5"/>
  <c r="F15" i="5"/>
  <c r="G15" i="5"/>
  <c r="C16" i="5"/>
  <c r="D16" i="5"/>
  <c r="E16" i="5"/>
  <c r="F16" i="5"/>
  <c r="G16" i="5"/>
  <c r="H16" i="5"/>
  <c r="C17" i="5"/>
  <c r="D17" i="5"/>
  <c r="E17" i="5"/>
  <c r="F17" i="5"/>
  <c r="G17" i="5"/>
  <c r="C18" i="5"/>
  <c r="D18" i="5"/>
  <c r="E18" i="5"/>
  <c r="F18" i="5"/>
  <c r="G18" i="5"/>
  <c r="H18" i="5"/>
  <c r="C19" i="5"/>
  <c r="H19" i="5" s="1"/>
  <c r="E19" i="5"/>
  <c r="F19" i="5"/>
  <c r="G19" i="5"/>
  <c r="C20" i="5"/>
  <c r="D20" i="5"/>
  <c r="E20" i="5"/>
  <c r="H20" i="5" s="1"/>
  <c r="F20" i="5"/>
  <c r="G20" i="5"/>
  <c r="C21" i="5"/>
  <c r="D21" i="5"/>
  <c r="F21" i="5"/>
  <c r="G21" i="5"/>
  <c r="C22" i="5"/>
  <c r="D22" i="5"/>
  <c r="E22" i="5"/>
  <c r="H22" i="5" s="1"/>
  <c r="F22" i="5"/>
  <c r="G22" i="5"/>
  <c r="C23" i="5"/>
  <c r="E23" i="5"/>
  <c r="F23" i="5"/>
  <c r="G23" i="5"/>
  <c r="C24" i="5"/>
  <c r="D24" i="5"/>
  <c r="E24" i="5"/>
  <c r="H24" i="5" s="1"/>
  <c r="F24" i="5"/>
  <c r="G24" i="5"/>
  <c r="C25" i="5"/>
  <c r="H25" i="5" s="1"/>
  <c r="D25" i="5"/>
  <c r="F25" i="5"/>
  <c r="G25" i="5"/>
  <c r="C26" i="5"/>
  <c r="D26" i="5"/>
  <c r="E26" i="5"/>
  <c r="F26" i="5"/>
  <c r="G26" i="5"/>
  <c r="H26" i="5"/>
  <c r="C27" i="5"/>
  <c r="H27" i="5" s="1"/>
  <c r="E27" i="5"/>
  <c r="F27" i="5"/>
  <c r="G27" i="5"/>
  <c r="C28" i="5"/>
  <c r="D28" i="5"/>
  <c r="E28" i="5"/>
  <c r="H28" i="5" s="1"/>
  <c r="F28" i="5"/>
  <c r="G28" i="5"/>
  <c r="C29" i="5"/>
  <c r="D29" i="5"/>
  <c r="F29" i="5"/>
  <c r="G29" i="5"/>
  <c r="C30" i="5"/>
  <c r="D30" i="5"/>
  <c r="E30" i="5"/>
  <c r="H30" i="5" s="1"/>
  <c r="F30" i="5"/>
  <c r="G30" i="5"/>
  <c r="C31" i="5"/>
  <c r="E31" i="5"/>
  <c r="F31" i="5"/>
  <c r="G31" i="5"/>
  <c r="C32" i="5"/>
  <c r="D32" i="5"/>
  <c r="E32" i="5"/>
  <c r="H32" i="5" s="1"/>
  <c r="F32" i="5"/>
  <c r="G32" i="5"/>
  <c r="C33" i="5"/>
  <c r="H33" i="5" s="1"/>
  <c r="F33" i="5"/>
  <c r="G33" i="5"/>
  <c r="C34" i="5"/>
  <c r="E34" i="5"/>
  <c r="F34" i="5"/>
  <c r="G34" i="5"/>
  <c r="C35" i="5"/>
  <c r="D35" i="5"/>
  <c r="E35" i="5"/>
  <c r="F35" i="5"/>
  <c r="G35" i="5"/>
  <c r="C36" i="5"/>
  <c r="D36" i="5"/>
  <c r="E36" i="5"/>
  <c r="H36" i="5" s="1"/>
  <c r="F36" i="5"/>
  <c r="G36" i="5"/>
  <c r="C37" i="5"/>
  <c r="F37" i="5"/>
  <c r="G37" i="5"/>
  <c r="C38" i="5"/>
  <c r="E38" i="5"/>
  <c r="F38" i="5"/>
  <c r="G38" i="5"/>
  <c r="C39" i="5"/>
  <c r="D39" i="5"/>
  <c r="E39" i="5"/>
  <c r="F39" i="5"/>
  <c r="G39" i="5"/>
  <c r="C40" i="5"/>
  <c r="D40" i="5"/>
  <c r="E40" i="5"/>
  <c r="F40" i="5"/>
  <c r="G40" i="5"/>
  <c r="H40" i="5"/>
  <c r="C41" i="5"/>
  <c r="H41" i="5" s="1"/>
  <c r="E41" i="5"/>
  <c r="F41" i="5"/>
  <c r="G41" i="5"/>
  <c r="C42" i="5"/>
  <c r="E42" i="5"/>
  <c r="F42" i="5"/>
  <c r="G42" i="5"/>
  <c r="C43" i="5"/>
  <c r="H43" i="5" s="1"/>
  <c r="D43" i="5"/>
  <c r="E43" i="5"/>
  <c r="F43" i="5"/>
  <c r="G43" i="5"/>
  <c r="C44" i="5"/>
  <c r="D44" i="5"/>
  <c r="E44" i="5"/>
  <c r="F44" i="5"/>
  <c r="G44" i="5"/>
  <c r="C45" i="5"/>
  <c r="D45" i="5"/>
  <c r="E45" i="5"/>
  <c r="F45" i="5"/>
  <c r="G45" i="5"/>
  <c r="C46" i="5"/>
  <c r="D46" i="5"/>
  <c r="E46" i="5"/>
  <c r="F46" i="5"/>
  <c r="G46" i="5"/>
  <c r="C47" i="5"/>
  <c r="H47" i="5" s="1"/>
  <c r="D47" i="5"/>
  <c r="E47" i="5"/>
  <c r="F47" i="5"/>
  <c r="G47" i="5"/>
  <c r="C48" i="5"/>
  <c r="D48" i="5"/>
  <c r="E48" i="5"/>
  <c r="F48" i="5"/>
  <c r="G48" i="5"/>
  <c r="C49" i="5"/>
  <c r="D49" i="5"/>
  <c r="E49" i="5"/>
  <c r="F49" i="5"/>
  <c r="G49" i="5"/>
  <c r="C50" i="5"/>
  <c r="D50" i="5"/>
  <c r="E50" i="5"/>
  <c r="F50" i="5"/>
  <c r="G50" i="5"/>
  <c r="C51" i="5"/>
  <c r="H51" i="5" s="1"/>
  <c r="D51" i="5"/>
  <c r="E51" i="5"/>
  <c r="F51" i="5"/>
  <c r="G51" i="5"/>
  <c r="C52" i="5"/>
  <c r="D52" i="5"/>
  <c r="E52" i="5"/>
  <c r="F52" i="5"/>
  <c r="G52" i="5"/>
  <c r="C53" i="5"/>
  <c r="D53" i="5"/>
  <c r="E53" i="5"/>
  <c r="F53" i="5"/>
  <c r="G53" i="5"/>
  <c r="C54" i="5"/>
  <c r="D54" i="5"/>
  <c r="E54" i="5"/>
  <c r="F54" i="5"/>
  <c r="G54" i="5"/>
  <c r="C55" i="5"/>
  <c r="D55" i="5"/>
  <c r="E55" i="5"/>
  <c r="H55" i="5" s="1"/>
  <c r="F55" i="5"/>
  <c r="G55" i="5"/>
  <c r="C56" i="5"/>
  <c r="H56" i="5" s="1"/>
  <c r="D56" i="5"/>
  <c r="E56" i="5"/>
  <c r="F56" i="5"/>
  <c r="G56" i="5"/>
  <c r="C57" i="5"/>
  <c r="D57" i="5"/>
  <c r="E57" i="5"/>
  <c r="H57" i="5" s="1"/>
  <c r="F57" i="5"/>
  <c r="G57" i="5"/>
  <c r="L59" i="5"/>
  <c r="AW1" i="6" l="1"/>
  <c r="BG1" i="6"/>
  <c r="AQ1" i="6"/>
  <c r="BE1" i="6"/>
  <c r="BA1" i="6"/>
  <c r="E1" i="6"/>
  <c r="C17" i="4" s="1"/>
  <c r="B17" i="4" s="1"/>
  <c r="D1" i="5" s="1"/>
  <c r="AC1" i="6"/>
  <c r="O1" i="6"/>
  <c r="B30" i="4" s="1"/>
  <c r="B34" i="5"/>
  <c r="B33" i="5"/>
  <c r="B11" i="5"/>
  <c r="B49" i="5"/>
  <c r="AK1" i="6"/>
  <c r="M1" i="6"/>
  <c r="D30" i="4" s="1"/>
  <c r="B25" i="5"/>
  <c r="S1" i="6"/>
  <c r="B32" i="4" s="1"/>
  <c r="AY1" i="6"/>
  <c r="AG1" i="6"/>
  <c r="K1" i="6"/>
  <c r="C27" i="4" s="1"/>
  <c r="B43" i="5"/>
  <c r="B37" i="5"/>
  <c r="B13" i="5"/>
  <c r="B53" i="5"/>
  <c r="B45" i="5"/>
  <c r="B15" i="5"/>
  <c r="BC1" i="6"/>
  <c r="AO1" i="6"/>
  <c r="Y1" i="6"/>
  <c r="D35" i="4" s="1"/>
  <c r="C1" i="6"/>
  <c r="B51" i="5"/>
  <c r="B38" i="5"/>
  <c r="B27" i="5"/>
  <c r="I27" i="5" s="1"/>
  <c r="B55" i="5"/>
  <c r="B47" i="5"/>
  <c r="B30" i="5"/>
  <c r="C1" i="8"/>
  <c r="I18" i="5" s="1"/>
  <c r="B56" i="5"/>
  <c r="B42" i="5"/>
  <c r="B40" i="5"/>
  <c r="B29" i="5"/>
  <c r="B21" i="5"/>
  <c r="Q1" i="6"/>
  <c r="D32" i="4" s="1"/>
  <c r="AS1" i="6"/>
  <c r="AI1" i="6"/>
  <c r="W1" i="6"/>
  <c r="G1" i="6"/>
  <c r="C19" i="4" s="1"/>
  <c r="B19" i="4" s="1"/>
  <c r="F1" i="5" s="1"/>
  <c r="B7" i="5"/>
  <c r="B5" i="5"/>
  <c r="B54" i="5"/>
  <c r="B52" i="5"/>
  <c r="B50" i="5"/>
  <c r="B48" i="5"/>
  <c r="B46" i="5"/>
  <c r="B44" i="5"/>
  <c r="B41" i="5"/>
  <c r="B36" i="5"/>
  <c r="B32" i="5"/>
  <c r="B24" i="5"/>
  <c r="B16" i="5"/>
  <c r="B12" i="5"/>
  <c r="I12" i="5" s="1"/>
  <c r="B10" i="5"/>
  <c r="B8" i="5"/>
  <c r="B4" i="5"/>
  <c r="B57" i="5"/>
  <c r="B39" i="5"/>
  <c r="B28" i="5"/>
  <c r="B26" i="5"/>
  <c r="B23" i="5"/>
  <c r="B19" i="5"/>
  <c r="B17" i="5"/>
  <c r="B14" i="5"/>
  <c r="B9" i="5"/>
  <c r="B6" i="5"/>
  <c r="L1" i="5"/>
  <c r="C40" i="4" s="1"/>
  <c r="B35" i="5"/>
  <c r="B31" i="5"/>
  <c r="I31" i="5" s="1"/>
  <c r="B22" i="5"/>
  <c r="B20" i="5"/>
  <c r="AU1" i="6"/>
  <c r="AM1" i="6"/>
  <c r="AE1" i="6"/>
  <c r="U1" i="6"/>
  <c r="I1" i="6"/>
  <c r="B26" i="4" s="1"/>
  <c r="B1" i="7"/>
  <c r="H48" i="5"/>
  <c r="H44" i="5"/>
  <c r="H52" i="5"/>
  <c r="H53" i="5"/>
  <c r="H49" i="5"/>
  <c r="H45" i="5"/>
  <c r="H42" i="5"/>
  <c r="H39" i="5"/>
  <c r="H54" i="5"/>
  <c r="H50" i="5"/>
  <c r="H46" i="5"/>
  <c r="H17" i="5"/>
  <c r="H15" i="5"/>
  <c r="BI51" i="6"/>
  <c r="BI47" i="6"/>
  <c r="BF15" i="6"/>
  <c r="BH15" i="6" s="1"/>
  <c r="BI15" i="6"/>
  <c r="BF7" i="6"/>
  <c r="BH7" i="6" s="1"/>
  <c r="BI7" i="6"/>
  <c r="H37" i="5"/>
  <c r="H35" i="5"/>
  <c r="H29" i="5"/>
  <c r="H21" i="5"/>
  <c r="H5" i="5"/>
  <c r="BI53" i="6"/>
  <c r="BI52" i="6"/>
  <c r="BI48" i="6"/>
  <c r="H11" i="5"/>
  <c r="H31" i="5"/>
  <c r="H23" i="5"/>
  <c r="H9" i="5"/>
  <c r="H7" i="5"/>
  <c r="BI43" i="6"/>
  <c r="BI42" i="6"/>
  <c r="BI39" i="6"/>
  <c r="BI38" i="6"/>
  <c r="BI35" i="6"/>
  <c r="BF11" i="6"/>
  <c r="BH11" i="6" s="1"/>
  <c r="BI11" i="6"/>
  <c r="AA1" i="6"/>
  <c r="B35" i="4" s="1"/>
  <c r="BF52" i="6"/>
  <c r="BH52" i="6" s="1"/>
  <c r="BF48" i="6"/>
  <c r="BH48" i="6" s="1"/>
  <c r="BF42" i="6"/>
  <c r="BH42" i="6" s="1"/>
  <c r="BF38" i="6"/>
  <c r="BH38" i="6" s="1"/>
  <c r="BH34" i="6"/>
  <c r="BH30" i="6"/>
  <c r="BH26" i="6"/>
  <c r="BH22" i="6"/>
  <c r="BH18" i="6"/>
  <c r="E19" i="8"/>
  <c r="B19" i="8" s="1"/>
  <c r="BH45" i="6"/>
  <c r="BH41" i="6"/>
  <c r="BH37" i="6"/>
  <c r="BH31" i="6"/>
  <c r="BH27" i="6"/>
  <c r="BH23" i="6"/>
  <c r="BH19" i="6"/>
  <c r="BI14" i="6"/>
  <c r="BI10" i="6"/>
  <c r="BI6" i="6"/>
  <c r="BH1" i="6"/>
  <c r="C39" i="4" s="1"/>
  <c r="BD1" i="6"/>
  <c r="AZ1" i="6"/>
  <c r="AV1" i="6"/>
  <c r="AR1" i="6"/>
  <c r="AN1" i="6"/>
  <c r="AJ1" i="6"/>
  <c r="AF1" i="6"/>
  <c r="AB1" i="6"/>
  <c r="X1" i="6"/>
  <c r="C35" i="4" s="1"/>
  <c r="T1" i="6"/>
  <c r="P1" i="6"/>
  <c r="C32" i="4" s="1"/>
  <c r="L1" i="6"/>
  <c r="C30" i="4" s="1"/>
  <c r="H1" i="6"/>
  <c r="C20" i="4" s="1"/>
  <c r="B20" i="4" s="1"/>
  <c r="G1" i="5" s="1"/>
  <c r="D1" i="6"/>
  <c r="C16" i="4" s="1"/>
  <c r="B16" i="4" s="1"/>
  <c r="C1" i="5" s="1"/>
  <c r="BF1" i="6"/>
  <c r="BB1" i="6"/>
  <c r="AX1" i="6"/>
  <c r="AT1" i="6"/>
  <c r="AP1" i="6"/>
  <c r="AL1" i="6"/>
  <c r="AH1" i="6"/>
  <c r="AD1" i="6"/>
  <c r="Z1" i="6"/>
  <c r="E35" i="4" s="1"/>
  <c r="V1" i="6"/>
  <c r="R1" i="6"/>
  <c r="E32" i="4" s="1"/>
  <c r="N1" i="6"/>
  <c r="E30" i="4" s="1"/>
  <c r="J1" i="6"/>
  <c r="C21" i="4" s="1"/>
  <c r="B21" i="4" s="1"/>
  <c r="B27" i="4" s="1"/>
  <c r="F1" i="6"/>
  <c r="C18" i="4" s="1"/>
  <c r="B18" i="4" s="1"/>
  <c r="E1" i="5" s="1"/>
  <c r="I43" i="5" l="1"/>
  <c r="I56" i="5"/>
  <c r="I22" i="5"/>
  <c r="I45" i="5"/>
  <c r="I34" i="5"/>
  <c r="I10" i="5"/>
  <c r="I23" i="5"/>
  <c r="I21" i="5"/>
  <c r="I37" i="5"/>
  <c r="I4" i="5"/>
  <c r="I16" i="5"/>
  <c r="I41" i="5"/>
  <c r="B22" i="4"/>
  <c r="B31" i="4" s="1"/>
  <c r="I25" i="5"/>
  <c r="I29" i="5"/>
  <c r="C41" i="4"/>
  <c r="I20" i="5"/>
  <c r="I19" i="5"/>
  <c r="I39" i="5"/>
  <c r="I33" i="5"/>
  <c r="I50" i="5"/>
  <c r="C22" i="4"/>
  <c r="I9" i="5"/>
  <c r="I51" i="5"/>
  <c r="I5" i="5"/>
  <c r="I11" i="5"/>
  <c r="I49" i="5"/>
  <c r="I44" i="5"/>
  <c r="I30" i="5"/>
  <c r="I14" i="5"/>
  <c r="I26" i="5"/>
  <c r="I47" i="5"/>
  <c r="I8" i="5"/>
  <c r="I24" i="5"/>
  <c r="I40" i="5"/>
  <c r="I38" i="5"/>
  <c r="I7" i="5"/>
  <c r="I48" i="5"/>
  <c r="I6" i="5"/>
  <c r="I36" i="5"/>
  <c r="I28" i="5"/>
  <c r="I32" i="5"/>
  <c r="I13" i="5"/>
  <c r="I57" i="5"/>
  <c r="I55" i="5"/>
  <c r="I15" i="5"/>
  <c r="I17" i="5"/>
  <c r="I53" i="5"/>
  <c r="I42" i="5"/>
  <c r="I35" i="5"/>
  <c r="I52" i="5"/>
  <c r="I54" i="5"/>
  <c r="H1" i="5"/>
  <c r="I46" i="5"/>
  <c r="H59" i="5"/>
  <c r="E31" i="4" l="1"/>
  <c r="C31" i="4"/>
  <c r="D31" i="4"/>
  <c r="D36" i="4" l="1"/>
  <c r="D33" i="4"/>
  <c r="D34" i="4" s="1"/>
  <c r="C33" i="4"/>
  <c r="E33" i="4"/>
  <c r="E34" i="4" s="1"/>
  <c r="B33" i="4" l="1"/>
  <c r="B34" i="4" s="1"/>
  <c r="C34" i="4"/>
  <c r="B1" i="5" l="1"/>
  <c r="C36" i="4"/>
  <c r="B36" i="4" s="1"/>
  <c r="B39" i="4" s="1"/>
  <c r="D39" i="4" l="1"/>
  <c r="I1" i="5"/>
  <c r="B59" i="5"/>
  <c r="I59" i="5" l="1"/>
  <c r="E39" i="4"/>
  <c r="J51" i="5" l="1"/>
  <c r="K51" i="5" s="1"/>
  <c r="J36" i="5"/>
  <c r="K36" i="5" s="1"/>
  <c r="J28" i="5"/>
  <c r="K28" i="5" s="1"/>
  <c r="J38" i="5"/>
  <c r="K38" i="5" s="1"/>
  <c r="J18" i="5"/>
  <c r="K18" i="5" s="1"/>
  <c r="J32" i="5"/>
  <c r="K32" i="5" s="1"/>
  <c r="J20" i="5"/>
  <c r="K20" i="5" s="1"/>
  <c r="J30" i="5"/>
  <c r="K30" i="5" s="1"/>
  <c r="J34" i="5"/>
  <c r="K34" i="5" s="1"/>
  <c r="J41" i="5"/>
  <c r="K41" i="5" s="1"/>
  <c r="J57" i="5"/>
  <c r="K57" i="5" s="1"/>
  <c r="J47" i="5"/>
  <c r="K47" i="5" s="1"/>
  <c r="J24" i="5"/>
  <c r="K24" i="5" s="1"/>
  <c r="J14" i="5"/>
  <c r="K14" i="5" s="1"/>
  <c r="J12" i="5"/>
  <c r="K12" i="5" s="1"/>
  <c r="J10" i="5"/>
  <c r="K10" i="5" s="1"/>
  <c r="J22" i="5"/>
  <c r="K22" i="5" s="1"/>
  <c r="J43" i="5"/>
  <c r="K43" i="5" s="1"/>
  <c r="J4" i="5"/>
  <c r="K4" i="5" s="1"/>
  <c r="J8" i="5"/>
  <c r="K8" i="5" s="1"/>
  <c r="J6" i="5"/>
  <c r="K6" i="5" s="1"/>
  <c r="J55" i="5"/>
  <c r="K55" i="5" s="1"/>
  <c r="J40" i="5"/>
  <c r="K40" i="5" s="1"/>
  <c r="J16" i="5"/>
  <c r="K16" i="5" s="1"/>
  <c r="J26" i="5"/>
  <c r="K26" i="5" s="1"/>
  <c r="J9" i="5"/>
  <c r="K9" i="5" s="1"/>
  <c r="J7" i="5"/>
  <c r="K7" i="5" s="1"/>
  <c r="J15" i="5"/>
  <c r="K15" i="5" s="1"/>
  <c r="J46" i="5"/>
  <c r="K46" i="5" s="1"/>
  <c r="J19" i="5"/>
  <c r="K19" i="5" s="1"/>
  <c r="J37" i="5"/>
  <c r="K37" i="5" s="1"/>
  <c r="J45" i="5"/>
  <c r="K45" i="5" s="1"/>
  <c r="J33" i="5"/>
  <c r="K33" i="5" s="1"/>
  <c r="J5" i="5"/>
  <c r="K5" i="5" s="1"/>
  <c r="J35" i="5"/>
  <c r="K35" i="5" s="1"/>
  <c r="J25" i="5"/>
  <c r="K25" i="5" s="1"/>
  <c r="J39" i="5"/>
  <c r="K39" i="5" s="1"/>
  <c r="J27" i="5"/>
  <c r="K27" i="5" s="1"/>
  <c r="J53" i="5"/>
  <c r="K53" i="5" s="1"/>
  <c r="J23" i="5"/>
  <c r="K23" i="5" s="1"/>
  <c r="J50" i="5"/>
  <c r="K50" i="5" s="1"/>
  <c r="J44" i="5"/>
  <c r="K44" i="5" s="1"/>
  <c r="J11" i="5"/>
  <c r="K11" i="5" s="1"/>
  <c r="J54" i="5"/>
  <c r="K54" i="5" s="1"/>
  <c r="J49" i="5"/>
  <c r="K49" i="5" s="1"/>
  <c r="J31" i="5"/>
  <c r="K31" i="5" s="1"/>
  <c r="J13" i="5"/>
  <c r="K13" i="5" s="1"/>
  <c r="J48" i="5"/>
  <c r="K48" i="5" s="1"/>
  <c r="J52" i="5"/>
  <c r="K52" i="5" s="1"/>
  <c r="J42" i="5"/>
  <c r="K42" i="5" s="1"/>
  <c r="J17" i="5"/>
  <c r="K17" i="5" s="1"/>
  <c r="J21" i="5"/>
  <c r="K21" i="5" s="1"/>
  <c r="J29" i="5"/>
  <c r="K29" i="5" s="1"/>
  <c r="J56" i="5"/>
  <c r="K56" i="5" s="1"/>
  <c r="J1" i="5"/>
  <c r="K1" i="5" s="1"/>
  <c r="B40" i="4" s="1"/>
  <c r="D40" i="4" l="1"/>
  <c r="B41" i="4"/>
  <c r="E40" i="4" l="1"/>
  <c r="E41" i="4" s="1"/>
  <c r="D4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mmacsparran</author>
    <author>Brian Laatsch</author>
  </authors>
  <commentList>
    <comment ref="C1" authorId="0" shapeId="0" xr:uid="{00000000-0006-0000-0000-000001000000}">
      <text>
        <r>
          <rPr>
            <b/>
            <sz val="8"/>
            <color indexed="81"/>
            <rFont val="Tahoma"/>
            <family val="2"/>
          </rPr>
          <t>Daniel Bauer:</t>
        </r>
        <r>
          <rPr>
            <sz val="8"/>
            <color indexed="81"/>
            <rFont val="Tahoma"/>
            <family val="2"/>
          </rPr>
          <t xml:space="preserve">
Enter State name here.</t>
        </r>
      </text>
    </comment>
    <comment ref="C21" authorId="1" shapeId="0" xr:uid="{00000000-0006-0000-0000-000002000000}">
      <text>
        <r>
          <rPr>
            <b/>
            <sz val="8"/>
            <color indexed="81"/>
            <rFont val="Tahoma"/>
            <family val="2"/>
          </rPr>
          <t>Daniel Bauer:</t>
        </r>
        <r>
          <rPr>
            <sz val="8"/>
            <color indexed="81"/>
            <rFont val="Tahoma"/>
            <family val="2"/>
          </rPr>
          <t xml:space="preserve">
Reported from Line 1 of 157 Report</t>
        </r>
      </text>
    </comment>
    <comment ref="C22" authorId="1" shapeId="0" xr:uid="{00000000-0006-0000-0000-000003000000}">
      <text>
        <r>
          <rPr>
            <b/>
            <sz val="8"/>
            <color indexed="81"/>
            <rFont val="Tahoma"/>
            <family val="2"/>
          </rPr>
          <t>Daniel Bauer:</t>
        </r>
        <r>
          <rPr>
            <sz val="8"/>
            <color indexed="81"/>
            <rFont val="Tahoma"/>
            <family val="2"/>
          </rPr>
          <t xml:space="preserve">
Annual current support owed divided by number of ordered cases.</t>
        </r>
      </text>
    </comment>
    <comment ref="C27" authorId="1" shapeId="0" xr:uid="{00000000-0006-0000-0000-000004000000}">
      <text>
        <r>
          <rPr>
            <b/>
            <sz val="8"/>
            <color indexed="81"/>
            <rFont val="Tahoma"/>
            <family val="2"/>
          </rPr>
          <t>Daniel Bauer:</t>
        </r>
        <r>
          <rPr>
            <sz val="8"/>
            <color indexed="81"/>
            <rFont val="Tahoma"/>
            <family val="2"/>
          </rPr>
          <t xml:space="preserve">
Reported from Line 2 of 157 Report</t>
        </r>
      </text>
    </comment>
    <comment ref="B30" authorId="1" shapeId="0" xr:uid="{00000000-0006-0000-0000-000005000000}">
      <text>
        <r>
          <rPr>
            <b/>
            <sz val="8"/>
            <color indexed="81"/>
            <rFont val="Tahoma"/>
            <family val="2"/>
          </rPr>
          <t>Daniel Bauer:</t>
        </r>
        <r>
          <rPr>
            <sz val="8"/>
            <color indexed="81"/>
            <rFont val="Tahoma"/>
            <family val="2"/>
          </rPr>
          <t xml:space="preserve">
Projected collections may not match reported collections at the default performance levels because of rounding the CO% and CS% measures.</t>
        </r>
      </text>
    </comment>
    <comment ref="C30" authorId="1" shapeId="0" xr:uid="{00000000-0006-0000-0000-000006000000}">
      <text>
        <r>
          <rPr>
            <b/>
            <sz val="8"/>
            <color indexed="81"/>
            <rFont val="Tahoma"/>
            <family val="2"/>
          </rPr>
          <t>Daniel Bauer:</t>
        </r>
        <r>
          <rPr>
            <sz val="8"/>
            <color indexed="81"/>
            <rFont val="Tahoma"/>
            <family val="2"/>
          </rPr>
          <t xml:space="preserve">
Projected collections may not match reported collections at the default performance levels because of rounding the CO% and CS% measures.</t>
        </r>
      </text>
    </comment>
    <comment ref="D30" authorId="1" shapeId="0" xr:uid="{00000000-0006-0000-0000-000007000000}">
      <text>
        <r>
          <rPr>
            <b/>
            <sz val="8"/>
            <color indexed="81"/>
            <rFont val="Tahoma"/>
            <family val="2"/>
          </rPr>
          <t>Daniel Bauer:</t>
        </r>
        <r>
          <rPr>
            <sz val="8"/>
            <color indexed="81"/>
            <rFont val="Tahoma"/>
            <family val="2"/>
          </rPr>
          <t xml:space="preserve">
Projected collections may not match reported collections at the default performance levels because of rounding the CO% and CS% measures.</t>
        </r>
      </text>
    </comment>
    <comment ref="E30" authorId="1" shapeId="0" xr:uid="{00000000-0006-0000-0000-000008000000}">
      <text>
        <r>
          <rPr>
            <b/>
            <sz val="8"/>
            <color indexed="81"/>
            <rFont val="Tahoma"/>
            <family val="2"/>
          </rPr>
          <t>Daniel Bauer:</t>
        </r>
        <r>
          <rPr>
            <sz val="8"/>
            <color indexed="81"/>
            <rFont val="Tahoma"/>
            <family val="2"/>
          </rPr>
          <t xml:space="preserve">
Projected collections may not match reported collections at the default performance levels because of rounding the CO% and CS% measures.</t>
        </r>
      </text>
    </comment>
    <comment ref="B32" authorId="1" shapeId="0" xr:uid="{00000000-0006-0000-0000-000009000000}">
      <text>
        <r>
          <rPr>
            <b/>
            <sz val="8"/>
            <color indexed="81"/>
            <rFont val="Tahoma"/>
            <family val="2"/>
          </rPr>
          <t>Daniel Bauer:</t>
        </r>
        <r>
          <rPr>
            <sz val="8"/>
            <color indexed="81"/>
            <rFont val="Tahoma"/>
            <family val="2"/>
          </rPr>
          <t xml:space="preserve">
Projected collections may not match reported collections at the default performance levels because of rounding the CO% and CS% measures.</t>
        </r>
      </text>
    </comment>
    <comment ref="C32" authorId="1" shapeId="0" xr:uid="{00000000-0006-0000-0000-00000A000000}">
      <text>
        <r>
          <rPr>
            <b/>
            <sz val="8"/>
            <color indexed="81"/>
            <rFont val="Tahoma"/>
            <family val="2"/>
          </rPr>
          <t>Daniel Bauer:</t>
        </r>
        <r>
          <rPr>
            <sz val="8"/>
            <color indexed="81"/>
            <rFont val="Tahoma"/>
            <family val="2"/>
          </rPr>
          <t xml:space="preserve">
Projected collections may not match reported collections at the default performance levels because of rounding the CO% and CS% measures.</t>
        </r>
      </text>
    </comment>
    <comment ref="D32" authorId="1" shapeId="0" xr:uid="{00000000-0006-0000-0000-00000B000000}">
      <text>
        <r>
          <rPr>
            <b/>
            <sz val="8"/>
            <color indexed="81"/>
            <rFont val="Tahoma"/>
            <family val="2"/>
          </rPr>
          <t>Daniel Bauer:</t>
        </r>
        <r>
          <rPr>
            <sz val="8"/>
            <color indexed="81"/>
            <rFont val="Tahoma"/>
            <family val="2"/>
          </rPr>
          <t xml:space="preserve">
Projected collections may not match reported collections at the default performance levels because of rounding the CO% and CS% measures.</t>
        </r>
      </text>
    </comment>
    <comment ref="E32" authorId="1" shapeId="0" xr:uid="{00000000-0006-0000-0000-00000C000000}">
      <text>
        <r>
          <rPr>
            <b/>
            <sz val="8"/>
            <color indexed="81"/>
            <rFont val="Tahoma"/>
            <family val="2"/>
          </rPr>
          <t>Daniel Bauer:</t>
        </r>
        <r>
          <rPr>
            <sz val="8"/>
            <color indexed="81"/>
            <rFont val="Tahoma"/>
            <family val="2"/>
          </rPr>
          <t xml:space="preserve">
Projected collections may not match reported collections at the default performance levels because of rounding the CO% and CS% measures.</t>
        </r>
      </text>
    </comment>
    <comment ref="B35" authorId="1" shapeId="0" xr:uid="{00000000-0006-0000-0000-00000D000000}">
      <text>
        <r>
          <rPr>
            <b/>
            <sz val="8"/>
            <color indexed="81"/>
            <rFont val="Tahoma"/>
            <family val="2"/>
          </rPr>
          <t>Daniel Bauer:</t>
        </r>
        <r>
          <rPr>
            <sz val="8"/>
            <color indexed="81"/>
            <rFont val="Tahoma"/>
            <family val="2"/>
          </rPr>
          <t xml:space="preserve">
Projected collections may not match reported collections at the default performance levels because of rounding the CO% and CS% measures.</t>
        </r>
      </text>
    </comment>
    <comment ref="C35" authorId="1" shapeId="0" xr:uid="{00000000-0006-0000-0000-00000E000000}">
      <text>
        <r>
          <rPr>
            <b/>
            <sz val="8"/>
            <color indexed="81"/>
            <rFont val="Tahoma"/>
            <family val="2"/>
          </rPr>
          <t>Daniel Bauer:</t>
        </r>
        <r>
          <rPr>
            <sz val="8"/>
            <color indexed="81"/>
            <rFont val="Tahoma"/>
            <family val="2"/>
          </rPr>
          <t xml:space="preserve">
Projected collections may not match reported collections at the default performance levels because of rounding the CO% and CS% measures.</t>
        </r>
      </text>
    </comment>
    <comment ref="D35" authorId="1" shapeId="0" xr:uid="{00000000-0006-0000-0000-00000F000000}">
      <text>
        <r>
          <rPr>
            <b/>
            <sz val="8"/>
            <color indexed="81"/>
            <rFont val="Tahoma"/>
            <family val="2"/>
          </rPr>
          <t>Daniel Bauer:</t>
        </r>
        <r>
          <rPr>
            <sz val="8"/>
            <color indexed="81"/>
            <rFont val="Tahoma"/>
            <family val="2"/>
          </rPr>
          <t xml:space="preserve">
Projected collections may not match reported collections at the default performance levels because of rounding the CO% and CS% measures.</t>
        </r>
      </text>
    </comment>
    <comment ref="E35" authorId="1" shapeId="0" xr:uid="{00000000-0006-0000-0000-000010000000}">
      <text>
        <r>
          <rPr>
            <b/>
            <sz val="8"/>
            <color indexed="81"/>
            <rFont val="Tahoma"/>
            <family val="2"/>
          </rPr>
          <t>Daniel B auer:</t>
        </r>
        <r>
          <rPr>
            <sz val="8"/>
            <color indexed="81"/>
            <rFont val="Tahoma"/>
            <family val="2"/>
          </rPr>
          <t xml:space="preserve">
Projected collections may not match reported collections at the default performance levels because of rounding the CO% and CS% measures.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Brian Laatsch</author>
  </authors>
  <commentList>
    <comment ref="E18" authorId="0" shapeId="0" xr:uid="{00000000-0006-0000-0400-000001000000}">
      <text>
        <r>
          <rPr>
            <b/>
            <sz val="8"/>
            <color indexed="81"/>
            <rFont val="Tahoma"/>
            <family val="2"/>
          </rPr>
          <t>Daniel Bauer:</t>
        </r>
        <r>
          <rPr>
            <sz val="8"/>
            <color indexed="81"/>
            <rFont val="Tahoma"/>
            <family val="2"/>
          </rPr>
          <t xml:space="preserve">
Estimated</t>
        </r>
      </text>
    </comment>
    <comment ref="E19" authorId="0" shapeId="0" xr:uid="{00000000-0006-0000-0400-000002000000}">
      <text>
        <r>
          <rPr>
            <b/>
            <sz val="8"/>
            <color indexed="81"/>
            <rFont val="Tahoma"/>
            <family val="2"/>
          </rPr>
          <t>Daniel Bauer:</t>
        </r>
        <r>
          <rPr>
            <sz val="8"/>
            <color indexed="81"/>
            <rFont val="Tahoma"/>
            <family val="2"/>
          </rPr>
          <t xml:space="preserve">
Estimated</t>
        </r>
      </text>
    </comment>
  </commentList>
</comments>
</file>

<file path=xl/sharedStrings.xml><?xml version="1.0" encoding="utf-8"?>
<sst xmlns="http://schemas.openxmlformats.org/spreadsheetml/2006/main" count="502" uniqueCount="164">
  <si>
    <t>Total State Revenue</t>
  </si>
  <si>
    <t>Incentives</t>
  </si>
  <si>
    <t>State Share of Retained Collections</t>
  </si>
  <si>
    <t>Extra Revenue with FFP Match</t>
  </si>
  <si>
    <t>Revenue Greater than FY18 State Reported Amount</t>
  </si>
  <si>
    <t>Projections Based on FY18 State Reported Values</t>
  </si>
  <si>
    <t>Projections Based on Improved Performance</t>
  </si>
  <si>
    <t>STATE SHARE OF RETAINED COLLECTIONS</t>
  </si>
  <si>
    <t>FY17 Total State Reported Distributed Colls.</t>
  </si>
  <si>
    <t>Projected Total Collections</t>
  </si>
  <si>
    <t>Projected Arrearages Collected</t>
  </si>
  <si>
    <t>FY17 State Reported Arrearage Collections</t>
  </si>
  <si>
    <t xml:space="preserve">Projected Current Support Collected </t>
  </si>
  <si>
    <t>FY17 State Reported Current Support Collections</t>
  </si>
  <si>
    <t>Never Assistance</t>
  </si>
  <si>
    <t>Former Assistance</t>
  </si>
  <si>
    <t>Current Assistance</t>
  </si>
  <si>
    <t>Total</t>
  </si>
  <si>
    <t>Projected Court Ordered Caseload with Performance Improvement</t>
  </si>
  <si>
    <t>FMAP Rate</t>
  </si>
  <si>
    <t>National Incentive Pool</t>
  </si>
  <si>
    <t>FY18 State Reported Values</t>
  </si>
  <si>
    <t>Fixed or Calculated Assumptions</t>
  </si>
  <si>
    <t>Average Annual Current Support Owed per Ordered Case</t>
  </si>
  <si>
    <t>Projected Caseload with Performance Improvement</t>
  </si>
  <si>
    <t>Cost-Effectiveness Measure</t>
  </si>
  <si>
    <t>Arrearage Percentage</t>
  </si>
  <si>
    <t>Current Support Percentage</t>
  </si>
  <si>
    <t>Support Order Percentage</t>
  </si>
  <si>
    <t>Paternity Establishment Percentage</t>
  </si>
  <si>
    <t>Improved Performance Assumptions</t>
  </si>
  <si>
    <t>3) Compare relative payoffs from investing staff resources to improve one combination of measures versus a different combination.</t>
  </si>
  <si>
    <t>Federal Fiscal Year</t>
  </si>
  <si>
    <t>Illinois</t>
  </si>
  <si>
    <t xml:space="preserve">INCENTIVE CALCULATOR FOR </t>
  </si>
  <si>
    <t>* Collections base calculated from OCSE 34A data unless otherwise noted in comments.</t>
  </si>
  <si>
    <t>Totals:</t>
  </si>
  <si>
    <t>Wyoming</t>
  </si>
  <si>
    <t>Wisconsin</t>
  </si>
  <si>
    <t>West Virginia</t>
  </si>
  <si>
    <t>Washington</t>
  </si>
  <si>
    <t>Virginia</t>
  </si>
  <si>
    <t>Virgin Islands</t>
  </si>
  <si>
    <t>Vermont</t>
  </si>
  <si>
    <t>Utah</t>
  </si>
  <si>
    <t>Texas</t>
  </si>
  <si>
    <t>Tennessee</t>
  </si>
  <si>
    <t>South Dakota</t>
  </si>
  <si>
    <t>South Carolina</t>
  </si>
  <si>
    <t>Rhode Island</t>
  </si>
  <si>
    <t>Puerto Rico</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</si>
  <si>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</si>
  <si>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</si>
  <si>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</si>
  <si>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</si>
  <si>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</si>
  <si>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</si>
  <si>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</si>
  <si>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</si>
  <si>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</si>
  <si>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</si>
  <si>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</si>
  <si>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</si>
  <si>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</si>
  <si>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</si>
  <si>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</si>
  <si>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</si>
  <si>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</si>
  <si>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</si>
  <si>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</si>
  <si>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</si>
  <si>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</si>
  <si>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</si>
  <si>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</si>
  <si>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</si>
  <si>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</si>
  <si>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Idaho</t>
  </si>
  <si>
    <t>Hawaii</t>
  </si>
  <si>
    <t>Guam</t>
  </si>
  <si>
    <t>Georgia</t>
  </si>
  <si>
    <t>Florida</t>
  </si>
  <si>
    <t>D.C.</t>
  </si>
  <si>
    <t>Delaware</t>
  </si>
  <si>
    <t>Connecticut</t>
  </si>
  <si>
    <t>Colorado</t>
  </si>
  <si>
    <t>California</t>
  </si>
  <si>
    <t>Arkansas</t>
  </si>
  <si>
    <t>Arizona</t>
  </si>
  <si>
    <t>Alaska</t>
  </si>
  <si>
    <t>Alabama</t>
  </si>
  <si>
    <t>Incentives Based on Reported Values</t>
  </si>
  <si>
    <t>Incentive scaled down to cap</t>
  </si>
  <si>
    <t>inc points x state base</t>
  </si>
  <si>
    <t>Tot Inc points</t>
  </si>
  <si>
    <t>Cost Effectiveness</t>
  </si>
  <si>
    <t>Arr %</t>
  </si>
  <si>
    <t>Curr Supp %</t>
  </si>
  <si>
    <t>CO%</t>
  </si>
  <si>
    <t>PEP</t>
  </si>
  <si>
    <t>State Collection Base*</t>
  </si>
  <si>
    <t>State</t>
  </si>
  <si>
    <t>Incentive Scores</t>
  </si>
  <si>
    <t>IV-D</t>
  </si>
  <si>
    <t>NA</t>
  </si>
  <si>
    <t>Virgin Islands*</t>
  </si>
  <si>
    <t>Puerto Rico*</t>
  </si>
  <si>
    <t>Guam*</t>
  </si>
  <si>
    <t>District of Columbia**</t>
  </si>
  <si>
    <t>Dist. Of Columbia</t>
  </si>
  <si>
    <t>FY 15</t>
  </si>
  <si>
    <t>Collections Base</t>
  </si>
  <si>
    <t>Former</t>
  </si>
  <si>
    <t>Current</t>
  </si>
  <si>
    <t>Medicaid Never Assistance</t>
  </si>
  <si>
    <t>Former IV-E</t>
  </si>
  <si>
    <t>Former IV-A</t>
  </si>
  <si>
    <t>IV-E Current</t>
  </si>
  <si>
    <t>IV-A Current</t>
  </si>
  <si>
    <t>Never</t>
  </si>
  <si>
    <t>Retained Collections</t>
  </si>
  <si>
    <t>TOTAL FOR ASSISTANCE TYPE</t>
  </si>
  <si>
    <t>Distributed to Families (line 7c)</t>
  </si>
  <si>
    <t>Distributed as Medical Support (line 7b)</t>
  </si>
  <si>
    <t>Distributed as Assistance Reimbursement (line 7a)</t>
  </si>
  <si>
    <t>Forwarded to Other States (Line 5)</t>
  </si>
  <si>
    <t>Total Distributed Collections (Sum of Lines 25 and 27 of OCSE 157 Report)</t>
  </si>
  <si>
    <t>Current Support Owed (from 157 line 24)</t>
  </si>
  <si>
    <t>Arrearages Collected--Line 27 of OCSE 157 Report</t>
  </si>
  <si>
    <t>Current Support Paid (from 157 line 25)</t>
  </si>
  <si>
    <t>Ordered Caseload</t>
  </si>
  <si>
    <t>Total Caseload</t>
  </si>
  <si>
    <t>FMAP</t>
  </si>
  <si>
    <t>C/E Ratio Performance</t>
  </si>
  <si>
    <t>Arr% Performance</t>
  </si>
  <si>
    <t>CS% Performance</t>
  </si>
  <si>
    <t>CO% Performance</t>
  </si>
  <si>
    <t>Statewide PEP Performance</t>
  </si>
  <si>
    <t>IV-D PEP Performance</t>
  </si>
  <si>
    <t>PEP Option</t>
  </si>
  <si>
    <t>* Collections base calculated from OCSE 34A data as reported to MAXIMUS on the Data Compilation Project</t>
  </si>
  <si>
    <t>34A</t>
  </si>
  <si>
    <t xml:space="preserve">Arizona </t>
  </si>
  <si>
    <t>% Change in CPI</t>
  </si>
  <si>
    <t>Present Value Factor</t>
  </si>
  <si>
    <t>Cost-Effectiveness</t>
  </si>
  <si>
    <t>then</t>
  </si>
  <si>
    <t>But less</t>
  </si>
  <si>
    <t>At least</t>
  </si>
  <si>
    <t>Current Support and Arrearage</t>
  </si>
  <si>
    <t>Court Order and Paternity Establishment Measures</t>
  </si>
  <si>
    <t xml:space="preserve"> PART 1 - Variable Input Values</t>
  </si>
  <si>
    <t>PART 2 - Background Assumptions</t>
  </si>
  <si>
    <t>PART 3 - Implied Distributed Collections Given Improved Performance</t>
  </si>
  <si>
    <t>PART 4 - Projected Revenues to State Based on Model's Assumptions</t>
  </si>
  <si>
    <t>Federal Fiscal Year 2018</t>
  </si>
  <si>
    <r>
      <t xml:space="preserve">&lt;&lt;-- Enter full state name here. 
        </t>
    </r>
    <r>
      <rPr>
        <i/>
        <sz val="9"/>
        <color theme="5"/>
        <rFont val="Arial Unicode MS"/>
        <family val="2"/>
      </rPr>
      <t>(Use "D.C." for the District of Columbia.)</t>
    </r>
  </si>
  <si>
    <t xml:space="preserve">Purposes of Incentive Calculator:  </t>
  </si>
  <si>
    <t>2) Estimate potential magnitude of collection and incentive increases that may have occurred if the state had performed better during FFY18.</t>
  </si>
  <si>
    <t>1) Estimate what a state’s minimum incentive amount could be for the most recently completed federal fiscal year inadvance of official notification from the federal Office of Child Support
    Enforcement given reported levels of distributed collections and performance.</t>
  </si>
  <si>
    <t>The model assumes that all states have reliable data for all measures in FY18. However, the outcomes of the data reliability audits for states will affect the actual amount of incentives a state will receive. MAXIMUS does not warrant the model's projected incentives and collections to be a sum certain amount that will accrue to the state.</t>
  </si>
  <si>
    <t>To use this calculator:</t>
  </si>
  <si>
    <t>Purple Cells are values that change in response to updated performance or FMAP assumptions as listed in the Green Cells.</t>
  </si>
  <si>
    <t>Values in BLACK font indicate known values and are automatically updated each year by MAXIMUS.</t>
  </si>
  <si>
    <t>Green Cells are variables that can be changed to measure effects on the amount of state revenue. (Note: You'll need to reopen this document to reset these fields with default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</si>
</sst>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0.0%"/>
    <numFmt numFmtId="168" formatCode="_(* #,##0.000000_);_(* \(#,##0.000000\);_(* &quot;-&quot;??_);_(@_)"/>
    <numFmt numFmtId="169" formatCode="0.000000"/>
    <numFmt numFmtId="170" formatCode="0.00000%"/>
    <numFmt numFmtId="171" formatCode="#,##0.000000"/>
    <numFmt numFmtId="172" formatCode="_(&quot;$&quot;* #,##0_);_(&quot;$&quot;* \(#,##0\);_(&quot;$&quot;* &quot;-&quot;??_);_(@_)"/>
    <numFmt numFmtId="173" formatCode="0.0000%"/>
    <numFmt numFmtId="174" formatCode="0.0000"/>
    <numFmt numFmtId="175" formatCode="0.0000000%"/>
  </numFmts>
  <fonts count="28">
    <font>
      <sz val="11"/>
      <color theme="1"/>
      <name val="Arial"/>
      <family val="2"/>
      <scheme val="minor"/>
    </font>
    <font>
      <sz val="10"/>
      <name val="Arial"/>
      <family val="2"/>
    </font>
    <font>
      <sz val="10"/>
      <color indexed="12"/>
      <name val="Arial"/>
      <family val="2"/>
    </font>
    <font>
      <b/>
      <sz val="10"/>
      <name val="Arial"/>
      <family val="2"/>
    </font>
    <font>
      <sz val="10"/>
      <name val="Arial Unicode MS"/>
      <family val="2"/>
    </font>
    <font>
      <sz val="10"/>
      <color indexed="10"/>
      <name val="Arial"/>
      <family val="2"/>
    </font>
    <font>
      <b/>
      <sz val="12"/>
      <name val="Arial"/>
      <family val="2"/>
    </font>
    <font>
      <b/>
      <sz val="8"/>
      <color indexed="81"/>
      <name val="Tahoma"/>
      <family val="2"/>
    </font>
    <font>
      <sz val="8"/>
      <color indexed="81"/>
      <name val="Tahoma"/>
      <family val="2"/>
    </font>
    <font>
      <sz val="8"/>
      <name val="Arial"/>
      <family val="2"/>
    </font>
    <font>
      <b/>
      <sz val="8"/>
      <name val="Arial"/>
      <family val="2"/>
    </font>
    <font>
      <sz val="11"/>
      <name val="Arial"/>
      <family val="2"/>
    </font>
    <font>
      <b/>
      <sz val="11"/>
      <name val="Arial"/>
      <family val="2"/>
    </font>
    <font>
      <sz val="8"/>
      <name val="Verdana"/>
      <family val="2"/>
    </font>
    <font>
      <sz val="9"/>
      <name val="Arial"/>
      <family val="2"/>
    </font>
    <font>
      <b/>
      <sz val="9"/>
      <name val="Arial"/>
      <family val="2"/>
    </font>
    <font>
      <b/>
      <sz val="10"/>
      <color indexed="10"/>
      <name val="Arial"/>
      <family val="2"/>
    </font>
    <font>
      <sz val="10"/>
      <color indexed="17"/>
      <name val="Arial"/>
      <family val="2"/>
    </font>
    <font>
      <sz val="12"/>
      <name val="Verdana"/>
      <family val="2"/>
    </font>
    <font>
      <b/>
      <sz val="10"/>
      <color indexed="17"/>
      <name val="Arial"/>
      <family val="2"/>
    </font>
    <font>
      <sz val="8"/>
      <color indexed="17"/>
      <name val="Arial"/>
      <family val="2"/>
    </font>
    <font>
      <b/>
      <sz val="10"/>
      <color theme="0"/>
      <name val="Arial"/>
      <family val="2"/>
    </font>
    <font>
      <b/>
      <sz val="12"/>
      <color theme="0"/>
      <name val="Arial"/>
      <family val="2"/>
    </font>
    <font>
      <b/>
      <sz val="10"/>
      <color theme="5"/>
      <name val="Arial Unicode MS"/>
      <family val="2"/>
    </font>
    <font>
      <i/>
      <sz val="9"/>
      <color theme="5"/>
      <name val="Arial Unicode MS"/>
      <family val="2"/>
    </font>
    <font>
      <b/>
      <sz val="11"/>
      <color theme="1"/>
      <name val="Arial"/>
      <family val="2"/>
      <scheme val="minor"/>
    </font>
    <font>
      <b/>
      <sz val="10"/>
      <color theme="5" tint="-0.249977111117893"/>
      <name val="Arial"/>
      <family val="2"/>
    </font>
    <font>
      <b/>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5" tint="0.79998168889431442"/>
        <bgColor indexed="64"/>
      </patternFill>
    </fill>
    <fill>
      <patternFill patternType="solid">
        <fgColor theme="4" tint="0.79998168889431442"/>
        <bgColor indexed="64"/>
      </patternFill>
    </fill>
  </fills>
  <borders count="40">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s>
  <cellStyleXfs count="5">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6">
    <xf numFmtId="0" fontId="0" fillId="0" borderId="0" xfId="0"/>
    <xf numFmtId="0" fontId="1" fillId="0" borderId="0" xfId="1"/>
    <xf numFmtId="164" fontId="1" fillId="0" borderId="0" xfId="1" applyNumberFormat="1"/>
    <xf numFmtId="165" fontId="1" fillId="0" borderId="0" xfId="1" applyNumberFormat="1"/>
    <xf numFmtId="165" fontId="0" fillId="0" borderId="0" xfId="2" applyNumberFormat="1" applyFont="1" applyProtection="1"/>
    <xf numFmtId="164" fontId="1" fillId="0" borderId="29" xfId="3" applyNumberFormat="1" applyFont="1" applyFill="1" applyBorder="1" applyAlignment="1" applyProtection="1">
      <alignment horizontal="right"/>
    </xf>
    <xf numFmtId="164" fontId="1" fillId="0" borderId="30" xfId="3" applyNumberFormat="1" applyFont="1" applyFill="1" applyBorder="1" applyAlignment="1" applyProtection="1">
      <alignment horizontal="right"/>
    </xf>
    <xf numFmtId="164" fontId="1" fillId="0" borderId="31" xfId="3" applyNumberFormat="1" applyFont="1" applyFill="1" applyBorder="1" applyAlignment="1" applyProtection="1">
      <alignment horizontal="right"/>
    </xf>
    <xf numFmtId="164" fontId="1" fillId="0" borderId="17" xfId="3" applyNumberFormat="1" applyFont="1" applyFill="1" applyBorder="1" applyAlignment="1" applyProtection="1">
      <alignment horizontal="right"/>
    </xf>
    <xf numFmtId="166" fontId="1" fillId="0" borderId="0" xfId="1" applyNumberFormat="1"/>
    <xf numFmtId="7" fontId="5" fillId="0" borderId="0" xfId="2" applyNumberFormat="1" applyFont="1" applyBorder="1" applyProtection="1"/>
    <xf numFmtId="0" fontId="6" fillId="0" borderId="0" xfId="1" applyFont="1" applyAlignment="1">
      <alignment horizontal="right"/>
    </xf>
    <xf numFmtId="43" fontId="0" fillId="0" borderId="0" xfId="2" applyFont="1"/>
    <xf numFmtId="168" fontId="0" fillId="0" borderId="0" xfId="2" applyNumberFormat="1" applyFont="1"/>
    <xf numFmtId="43" fontId="0" fillId="0" borderId="0" xfId="2" applyFont="1" applyBorder="1"/>
    <xf numFmtId="3" fontId="9" fillId="0" borderId="0" xfId="1" applyNumberFormat="1" applyFont="1"/>
    <xf numFmtId="0" fontId="10" fillId="0" borderId="0" xfId="1" applyFont="1"/>
    <xf numFmtId="164" fontId="11" fillId="0" borderId="0" xfId="1" applyNumberFormat="1" applyFont="1" applyAlignment="1">
      <alignment horizontal="center"/>
    </xf>
    <xf numFmtId="2" fontId="11" fillId="0" borderId="0" xfId="1" applyNumberFormat="1" applyFont="1" applyAlignment="1">
      <alignment horizontal="center"/>
    </xf>
    <xf numFmtId="0" fontId="10" fillId="0" borderId="0" xfId="1" applyFont="1" applyAlignment="1">
      <alignment horizontal="center"/>
    </xf>
    <xf numFmtId="43" fontId="11" fillId="0" borderId="0" xfId="2" applyFont="1" applyProtection="1"/>
    <xf numFmtId="43" fontId="11" fillId="0" borderId="0" xfId="2" applyFont="1" applyBorder="1" applyProtection="1"/>
    <xf numFmtId="164" fontId="11" fillId="0" borderId="0" xfId="1" applyNumberFormat="1" applyFont="1"/>
    <xf numFmtId="165" fontId="0" fillId="0" borderId="0" xfId="2" applyNumberFormat="1" applyFont="1" applyBorder="1"/>
    <xf numFmtId="10" fontId="13" fillId="0" borderId="0" xfId="4" applyNumberFormat="1" applyFont="1" applyBorder="1"/>
    <xf numFmtId="164" fontId="0" fillId="0" borderId="0" xfId="2" applyNumberFormat="1" applyFont="1"/>
    <xf numFmtId="0" fontId="16" fillId="0" borderId="0" xfId="1" applyFont="1"/>
    <xf numFmtId="172" fontId="1" fillId="0" borderId="0" xfId="3" applyNumberFormat="1" applyFont="1" applyProtection="1"/>
    <xf numFmtId="0" fontId="3" fillId="0" borderId="0" xfId="1" applyFont="1"/>
    <xf numFmtId="43" fontId="3" fillId="0" borderId="0" xfId="2" applyFont="1"/>
    <xf numFmtId="168" fontId="3" fillId="0" borderId="0" xfId="2" applyNumberFormat="1" applyFont="1"/>
    <xf numFmtId="43" fontId="3" fillId="0" borderId="0" xfId="2" applyFont="1" applyBorder="1"/>
    <xf numFmtId="164" fontId="12" fillId="0" borderId="0" xfId="1" applyNumberFormat="1" applyFont="1" applyAlignment="1">
      <alignment horizontal="center"/>
    </xf>
    <xf numFmtId="173" fontId="11" fillId="0" borderId="0" xfId="1" applyNumberFormat="1" applyFont="1" applyAlignment="1">
      <alignment horizontal="center"/>
    </xf>
    <xf numFmtId="174" fontId="12" fillId="0" borderId="0" xfId="1" applyNumberFormat="1" applyFont="1" applyAlignment="1">
      <alignment horizontal="center"/>
    </xf>
    <xf numFmtId="164" fontId="3" fillId="0" borderId="0" xfId="1" applyNumberFormat="1" applyFont="1"/>
    <xf numFmtId="0" fontId="17" fillId="0" borderId="0" xfId="1" applyFont="1"/>
    <xf numFmtId="10" fontId="17" fillId="0" borderId="0" xfId="4" applyNumberFormat="1" applyFont="1" applyBorder="1"/>
    <xf numFmtId="3" fontId="18" fillId="0" borderId="0" xfId="1" applyNumberFormat="1" applyFont="1" applyAlignment="1">
      <alignment horizontal="right" wrapText="1"/>
    </xf>
    <xf numFmtId="164" fontId="17" fillId="0" borderId="0" xfId="3" applyNumberFormat="1" applyFont="1" applyFill="1" applyBorder="1" applyProtection="1">
      <protection locked="0"/>
    </xf>
    <xf numFmtId="10" fontId="0" fillId="0" borderId="0" xfId="4" applyNumberFormat="1" applyFont="1"/>
    <xf numFmtId="175" fontId="17" fillId="0" borderId="0" xfId="4" quotePrefix="1" applyNumberFormat="1" applyFont="1" applyFill="1" applyBorder="1" applyProtection="1">
      <protection locked="0"/>
    </xf>
    <xf numFmtId="164" fontId="19" fillId="0" borderId="0" xfId="3" applyNumberFormat="1" applyFont="1" applyFill="1" applyBorder="1" applyProtection="1">
      <protection locked="0"/>
    </xf>
    <xf numFmtId="164" fontId="19" fillId="0" borderId="0" xfId="3" quotePrefix="1" applyNumberFormat="1" applyFont="1" applyFill="1" applyBorder="1" applyProtection="1">
      <protection locked="0"/>
    </xf>
    <xf numFmtId="164" fontId="19" fillId="0" borderId="0" xfId="1" applyNumberFormat="1" applyFont="1" applyProtection="1">
      <protection locked="0"/>
    </xf>
    <xf numFmtId="3" fontId="19" fillId="0" borderId="0" xfId="1" applyNumberFormat="1" applyFont="1"/>
    <xf numFmtId="10" fontId="19" fillId="0" borderId="0" xfId="1" applyNumberFormat="1" applyFont="1"/>
    <xf numFmtId="166" fontId="19" fillId="0" borderId="0" xfId="2" applyNumberFormat="1" applyFont="1" applyBorder="1" applyAlignment="1" applyProtection="1">
      <alignment horizontal="right"/>
      <protection locked="0"/>
    </xf>
    <xf numFmtId="10" fontId="19" fillId="0" borderId="0" xfId="1" applyNumberFormat="1" applyFont="1" applyProtection="1">
      <protection locked="0"/>
    </xf>
    <xf numFmtId="3" fontId="20" fillId="0" borderId="0" xfId="1" applyNumberFormat="1" applyFont="1"/>
    <xf numFmtId="3" fontId="20" fillId="0" borderId="0" xfId="1" applyNumberFormat="1" applyFont="1" applyAlignment="1">
      <alignment horizontal="center"/>
    </xf>
    <xf numFmtId="3" fontId="19" fillId="0" borderId="0" xfId="1" applyNumberFormat="1" applyFont="1" applyAlignment="1">
      <alignment horizontal="center"/>
    </xf>
    <xf numFmtId="0" fontId="3" fillId="0" borderId="0" xfId="1" applyFont="1" applyAlignment="1">
      <alignment horizontal="center"/>
    </xf>
    <xf numFmtId="10" fontId="1" fillId="0" borderId="0" xfId="1" applyNumberFormat="1"/>
    <xf numFmtId="164" fontId="11" fillId="0" borderId="0" xfId="1" applyNumberFormat="1" applyFont="1" applyAlignment="1">
      <alignment horizontal="right"/>
    </xf>
    <xf numFmtId="43" fontId="17" fillId="0" borderId="0" xfId="2" applyFont="1" applyBorder="1" applyAlignment="1">
      <alignment horizontal="center"/>
    </xf>
    <xf numFmtId="3" fontId="20" fillId="0" borderId="0" xfId="1" applyNumberFormat="1" applyFont="1" applyAlignment="1">
      <alignment horizontal="center" wrapText="1"/>
    </xf>
    <xf numFmtId="172" fontId="0" fillId="0" borderId="0" xfId="3" applyNumberFormat="1" applyFont="1"/>
    <xf numFmtId="0" fontId="1" fillId="0" borderId="0" xfId="1" applyProtection="1"/>
    <xf numFmtId="0" fontId="1" fillId="0" borderId="0" xfId="1" applyAlignment="1" applyProtection="1">
      <alignment horizontal="center"/>
    </xf>
    <xf numFmtId="0" fontId="3" fillId="0" borderId="0" xfId="1" applyFont="1" applyAlignment="1" applyProtection="1">
      <alignment horizontal="center"/>
    </xf>
    <xf numFmtId="0" fontId="3" fillId="0" borderId="0" xfId="1" applyFont="1" applyAlignment="1" applyProtection="1">
      <alignment horizontal="center" wrapText="1"/>
    </xf>
    <xf numFmtId="0" fontId="1" fillId="0" borderId="0" xfId="1" applyAlignment="1" applyProtection="1">
      <alignment wrapText="1"/>
    </xf>
    <xf numFmtId="164" fontId="1" fillId="0" borderId="0" xfId="1" applyNumberFormat="1" applyAlignment="1" applyProtection="1">
      <alignment horizontal="right"/>
    </xf>
    <xf numFmtId="0" fontId="1" fillId="0" borderId="0" xfId="1" applyAlignment="1" applyProtection="1">
      <alignment horizontal="right"/>
    </xf>
    <xf numFmtId="3" fontId="1" fillId="0" borderId="0" xfId="1" applyNumberFormat="1" applyProtection="1"/>
    <xf numFmtId="10" fontId="0" fillId="0" borderId="0" xfId="4" applyNumberFormat="1" applyFont="1" applyProtection="1"/>
    <xf numFmtId="164" fontId="1" fillId="0" borderId="0" xfId="1" applyNumberFormat="1" applyProtection="1"/>
    <xf numFmtId="0" fontId="17" fillId="0" borderId="0" xfId="1" applyFont="1" applyAlignment="1" applyProtection="1">
      <alignment wrapText="1"/>
    </xf>
    <xf numFmtId="0" fontId="17" fillId="0" borderId="0" xfId="1" applyFont="1" applyAlignment="1" applyProtection="1">
      <alignment horizontal="center" wrapText="1"/>
    </xf>
    <xf numFmtId="0" fontId="10" fillId="0" borderId="0" xfId="1" applyFont="1" applyProtection="1"/>
    <xf numFmtId="0" fontId="10" fillId="0" borderId="0" xfId="1" applyFont="1" applyAlignment="1" applyProtection="1">
      <alignment horizontal="center"/>
    </xf>
    <xf numFmtId="0" fontId="17" fillId="0" borderId="0" xfId="1" applyFont="1" applyProtection="1"/>
    <xf numFmtId="10" fontId="1" fillId="0" borderId="0" xfId="1" applyNumberFormat="1" applyProtection="1"/>
    <xf numFmtId="10" fontId="17" fillId="0" borderId="0" xfId="4" applyNumberFormat="1" applyFont="1" applyBorder="1" applyProtection="1"/>
    <xf numFmtId="10" fontId="0" fillId="0" borderId="15" xfId="4" applyNumberFormat="1" applyFont="1" applyFill="1" applyBorder="1" applyAlignment="1" applyProtection="1">
      <alignment horizontal="right"/>
    </xf>
    <xf numFmtId="10" fontId="1" fillId="0" borderId="15" xfId="4" applyNumberFormat="1" applyFont="1" applyFill="1" applyBorder="1" applyProtection="1"/>
    <xf numFmtId="7" fontId="1" fillId="0" borderId="15" xfId="3" applyNumberFormat="1" applyFont="1" applyFill="1" applyBorder="1" applyProtection="1"/>
    <xf numFmtId="10" fontId="1" fillId="0" borderId="15" xfId="1" applyNumberFormat="1" applyBorder="1" applyProtection="1"/>
    <xf numFmtId="3" fontId="11" fillId="0" borderId="15" xfId="4" applyNumberFormat="1" applyFont="1" applyFill="1" applyBorder="1" applyAlignment="1" applyProtection="1">
      <alignment horizontal="right"/>
    </xf>
    <xf numFmtId="164" fontId="1" fillId="0" borderId="15" xfId="1" applyNumberFormat="1" applyBorder="1" applyProtection="1"/>
    <xf numFmtId="5" fontId="1" fillId="0" borderId="15" xfId="1" applyNumberFormat="1" applyBorder="1" applyProtection="1"/>
    <xf numFmtId="164" fontId="17" fillId="0" borderId="0" xfId="3" applyNumberFormat="1" applyFont="1" applyFill="1" applyBorder="1" applyProtection="1"/>
    <xf numFmtId="166" fontId="17" fillId="0" borderId="0" xfId="3" applyNumberFormat="1" applyFont="1" applyFill="1" applyBorder="1" applyProtection="1"/>
    <xf numFmtId="43" fontId="1" fillId="0" borderId="0" xfId="2" applyFont="1" applyAlignment="1" applyProtection="1">
      <alignment horizontal="right"/>
    </xf>
    <xf numFmtId="3" fontId="17" fillId="0" borderId="0" xfId="1" applyNumberFormat="1" applyFont="1" applyProtection="1"/>
    <xf numFmtId="0" fontId="10" fillId="0" borderId="39" xfId="1" applyFont="1" applyBorder="1" applyAlignment="1" applyProtection="1">
      <alignment horizontal="center"/>
    </xf>
    <xf numFmtId="3" fontId="9" fillId="0" borderId="39" xfId="1" applyNumberFormat="1" applyFont="1" applyBorder="1" applyAlignment="1" applyProtection="1">
      <alignment horizontal="center" wrapText="1"/>
    </xf>
    <xf numFmtId="0" fontId="14" fillId="0" borderId="39" xfId="1" applyFont="1" applyBorder="1" applyAlignment="1" applyProtection="1">
      <alignment horizontal="center" wrapText="1"/>
    </xf>
    <xf numFmtId="2" fontId="14" fillId="0" borderId="39" xfId="1" applyNumberFormat="1" applyFont="1" applyBorder="1" applyAlignment="1" applyProtection="1">
      <alignment horizontal="center" wrapText="1"/>
    </xf>
    <xf numFmtId="2" fontId="15" fillId="0" borderId="39" xfId="1" applyNumberFormat="1" applyFont="1" applyBorder="1" applyAlignment="1" applyProtection="1">
      <alignment horizontal="center" wrapText="1"/>
    </xf>
    <xf numFmtId="2" fontId="11" fillId="0" borderId="0" xfId="1" applyNumberFormat="1" applyFont="1" applyAlignment="1" applyProtection="1">
      <alignment horizontal="center"/>
    </xf>
    <xf numFmtId="2" fontId="12" fillId="0" borderId="0" xfId="1" applyNumberFormat="1" applyFont="1" applyAlignment="1" applyProtection="1">
      <alignment horizontal="center"/>
    </xf>
    <xf numFmtId="164" fontId="11" fillId="0" borderId="0" xfId="1" applyNumberFormat="1" applyFont="1" applyAlignment="1" applyProtection="1">
      <alignment horizontal="center"/>
    </xf>
    <xf numFmtId="10" fontId="11" fillId="0" borderId="0" xfId="1" applyNumberFormat="1" applyFont="1" applyAlignment="1" applyProtection="1">
      <alignment horizontal="center"/>
    </xf>
    <xf numFmtId="0" fontId="11" fillId="0" borderId="0" xfId="1" applyFont="1" applyProtection="1"/>
    <xf numFmtId="2" fontId="11" fillId="0" borderId="0" xfId="1" applyNumberFormat="1" applyFont="1" applyProtection="1"/>
    <xf numFmtId="2" fontId="12" fillId="0" borderId="0" xfId="1" applyNumberFormat="1" applyFont="1" applyProtection="1"/>
    <xf numFmtId="171" fontId="11" fillId="0" borderId="0" xfId="1" applyNumberFormat="1" applyFont="1" applyProtection="1"/>
    <xf numFmtId="3" fontId="11" fillId="0" borderId="0" xfId="1" applyNumberFormat="1" applyFont="1" applyProtection="1"/>
    <xf numFmtId="170" fontId="11" fillId="0" borderId="0" xfId="1" applyNumberFormat="1" applyFont="1" applyProtection="1"/>
    <xf numFmtId="164" fontId="11" fillId="0" borderId="0" xfId="1" applyNumberFormat="1" applyFont="1" applyProtection="1"/>
    <xf numFmtId="3" fontId="9" fillId="0" borderId="0" xfId="1" applyNumberFormat="1" applyFont="1" applyAlignment="1" applyProtection="1">
      <alignment horizontal="center"/>
    </xf>
    <xf numFmtId="0" fontId="11" fillId="0" borderId="0" xfId="1" applyFont="1" applyAlignment="1" applyProtection="1">
      <alignment horizontal="center"/>
    </xf>
    <xf numFmtId="169" fontId="12" fillId="0" borderId="0" xfId="1" applyNumberFormat="1" applyFont="1" applyAlignment="1" applyProtection="1">
      <alignment horizontal="center"/>
    </xf>
    <xf numFmtId="2" fontId="1" fillId="0" borderId="0" xfId="1" applyNumberFormat="1" applyAlignment="1" applyProtection="1">
      <alignment horizontal="center"/>
    </xf>
    <xf numFmtId="2" fontId="3" fillId="0" borderId="0" xfId="1" applyNumberFormat="1" applyFont="1" applyAlignment="1" applyProtection="1">
      <alignment horizontal="center"/>
    </xf>
    <xf numFmtId="164" fontId="1" fillId="0" borderId="0" xfId="1" applyNumberFormat="1" applyAlignment="1" applyProtection="1">
      <alignment horizontal="center"/>
    </xf>
    <xf numFmtId="3" fontId="9" fillId="0" borderId="0" xfId="1" applyNumberFormat="1" applyFont="1" applyProtection="1"/>
    <xf numFmtId="2" fontId="1" fillId="0" borderId="0" xfId="1" applyNumberFormat="1" applyProtection="1"/>
    <xf numFmtId="2" fontId="3" fillId="0" borderId="0" xfId="1" applyNumberFormat="1" applyFont="1" applyProtection="1"/>
    <xf numFmtId="0" fontId="22" fillId="0" borderId="0" xfId="1" applyFont="1" applyAlignment="1" applyProtection="1">
      <alignment horizontal="center"/>
      <protection hidden="1"/>
    </xf>
    <xf numFmtId="0" fontId="3" fillId="0" borderId="0" xfId="1" applyFont="1" applyProtection="1"/>
    <xf numFmtId="0" fontId="1" fillId="0" borderId="0" xfId="1" applyAlignment="1" applyProtection="1">
      <alignment horizontal="left" indent="1"/>
    </xf>
    <xf numFmtId="0" fontId="1" fillId="0" borderId="0" xfId="1" applyAlignment="1" applyProtection="1">
      <alignment horizontal="left" indent="2"/>
    </xf>
    <xf numFmtId="0" fontId="21" fillId="3" borderId="37" xfId="1" applyFont="1" applyFill="1" applyBorder="1" applyAlignment="1" applyProtection="1">
      <alignment horizontal="left" vertical="center" wrapText="1"/>
    </xf>
    <xf numFmtId="0" fontId="21" fillId="3" borderId="38" xfId="1" applyFont="1" applyFill="1" applyBorder="1" applyAlignment="1" applyProtection="1">
      <alignment horizontal="center" vertical="center" wrapText="1"/>
    </xf>
    <xf numFmtId="0" fontId="21" fillId="3" borderId="8" xfId="1" applyFont="1" applyFill="1" applyBorder="1" applyAlignment="1" applyProtection="1">
      <alignment horizontal="center" vertical="center" wrapText="1"/>
    </xf>
    <xf numFmtId="0" fontId="1" fillId="0" borderId="5" xfId="1" applyBorder="1" applyAlignment="1" applyProtection="1">
      <alignment wrapText="1"/>
    </xf>
    <xf numFmtId="0" fontId="1" fillId="0" borderId="28" xfId="1" applyBorder="1" applyAlignment="1" applyProtection="1">
      <alignment wrapText="1"/>
    </xf>
    <xf numFmtId="0" fontId="1" fillId="0" borderId="7" xfId="1" applyBorder="1" applyAlignment="1" applyProtection="1">
      <alignment wrapText="1"/>
    </xf>
    <xf numFmtId="0" fontId="1" fillId="0" borderId="13" xfId="1" applyBorder="1" applyAlignment="1" applyProtection="1">
      <alignment wrapText="1"/>
    </xf>
    <xf numFmtId="166" fontId="1" fillId="0" borderId="0" xfId="1" applyNumberFormat="1" applyProtection="1"/>
    <xf numFmtId="166" fontId="1" fillId="0" borderId="0" xfId="1" applyNumberFormat="1" applyAlignment="1" applyProtection="1">
      <alignment horizontal="right"/>
    </xf>
    <xf numFmtId="0" fontId="21" fillId="3" borderId="34" xfId="1" applyFont="1" applyFill="1" applyBorder="1" applyAlignment="1" applyProtection="1">
      <alignment horizontal="center" vertical="center" wrapText="1"/>
    </xf>
    <xf numFmtId="0" fontId="21" fillId="3" borderId="32" xfId="1" applyFont="1" applyFill="1" applyBorder="1" applyAlignment="1" applyProtection="1">
      <alignment horizontal="center" vertical="center" wrapText="1"/>
    </xf>
    <xf numFmtId="164" fontId="1" fillId="0" borderId="36" xfId="1" applyNumberFormat="1" applyBorder="1" applyProtection="1"/>
    <xf numFmtId="0" fontId="4" fillId="2" borderId="35" xfId="1" applyFont="1" applyFill="1" applyBorder="1" applyProtection="1"/>
    <xf numFmtId="0" fontId="4" fillId="0" borderId="0" xfId="1" applyFont="1" applyProtection="1"/>
    <xf numFmtId="0" fontId="4" fillId="2" borderId="27" xfId="1" applyFont="1" applyFill="1" applyBorder="1" applyProtection="1"/>
    <xf numFmtId="3" fontId="1" fillId="0" borderId="10" xfId="1" applyNumberFormat="1" applyBorder="1" applyProtection="1"/>
    <xf numFmtId="0" fontId="21" fillId="3" borderId="8" xfId="1" applyFont="1" applyFill="1" applyBorder="1" applyAlignment="1" applyProtection="1">
      <alignment horizontal="left" vertical="center" wrapText="1"/>
    </xf>
    <xf numFmtId="0" fontId="21" fillId="3" borderId="8" xfId="1" applyFont="1" applyFill="1" applyBorder="1" applyAlignment="1" applyProtection="1">
      <alignment horizontal="center" vertical="center"/>
    </xf>
    <xf numFmtId="0" fontId="21" fillId="3" borderId="34" xfId="1" applyFont="1" applyFill="1" applyBorder="1" applyAlignment="1" applyProtection="1">
      <alignment horizontal="center" vertical="center"/>
    </xf>
    <xf numFmtId="0" fontId="21" fillId="3" borderId="33" xfId="1" applyFont="1" applyFill="1" applyBorder="1" applyAlignment="1" applyProtection="1">
      <alignment horizontal="center" vertical="center"/>
    </xf>
    <xf numFmtId="0" fontId="21" fillId="3" borderId="32" xfId="1" applyFont="1" applyFill="1" applyBorder="1" applyAlignment="1" applyProtection="1">
      <alignment horizontal="center" vertical="center"/>
    </xf>
    <xf numFmtId="0" fontId="1" fillId="0" borderId="17" xfId="1" applyBorder="1" applyAlignment="1" applyProtection="1">
      <alignment wrapText="1"/>
    </xf>
    <xf numFmtId="0" fontId="1" fillId="0" borderId="26" xfId="1" applyBorder="1" applyAlignment="1" applyProtection="1">
      <alignment wrapText="1"/>
    </xf>
    <xf numFmtId="164" fontId="1" fillId="0" borderId="26" xfId="1" applyNumberFormat="1" applyBorder="1" applyProtection="1"/>
    <xf numFmtId="164" fontId="1" fillId="0" borderId="25" xfId="1" applyNumberFormat="1" applyBorder="1" applyProtection="1"/>
    <xf numFmtId="164" fontId="1" fillId="0" borderId="24" xfId="1" applyNumberFormat="1" applyBorder="1" applyProtection="1"/>
    <xf numFmtId="0" fontId="1" fillId="0" borderId="4" xfId="1" applyBorder="1" applyAlignment="1" applyProtection="1">
      <alignment wrapText="1"/>
    </xf>
    <xf numFmtId="0" fontId="3" fillId="0" borderId="17" xfId="1" applyFont="1" applyBorder="1" applyAlignment="1" applyProtection="1">
      <alignment wrapText="1"/>
    </xf>
    <xf numFmtId="164" fontId="3" fillId="0" borderId="17" xfId="1" applyNumberFormat="1" applyFont="1" applyBorder="1" applyProtection="1"/>
    <xf numFmtId="164" fontId="3" fillId="0" borderId="16" xfId="1" applyNumberFormat="1" applyFont="1" applyBorder="1" applyProtection="1"/>
    <xf numFmtId="164" fontId="3" fillId="0" borderId="15" xfId="1" applyNumberFormat="1" applyFont="1" applyBorder="1" applyProtection="1"/>
    <xf numFmtId="164" fontId="3" fillId="0" borderId="14" xfId="1" applyNumberFormat="1" applyFont="1" applyBorder="1" applyProtection="1"/>
    <xf numFmtId="164" fontId="1" fillId="2" borderId="10" xfId="1" applyNumberFormat="1" applyFill="1" applyBorder="1" applyProtection="1"/>
    <xf numFmtId="0" fontId="21" fillId="3" borderId="8" xfId="1" applyFont="1" applyFill="1" applyBorder="1" applyAlignment="1" applyProtection="1">
      <alignment wrapText="1"/>
    </xf>
    <xf numFmtId="0" fontId="21" fillId="3" borderId="8" xfId="1" applyFont="1" applyFill="1" applyBorder="1" applyAlignment="1" applyProtection="1">
      <alignment horizontal="center" wrapText="1"/>
    </xf>
    <xf numFmtId="164" fontId="21" fillId="3" borderId="9" xfId="1" applyNumberFormat="1" applyFont="1" applyFill="1" applyBorder="1" applyAlignment="1" applyProtection="1">
      <alignment horizontal="center" wrapText="1"/>
    </xf>
    <xf numFmtId="0" fontId="1" fillId="0" borderId="7" xfId="1" applyBorder="1" applyProtection="1"/>
    <xf numFmtId="164" fontId="1" fillId="0" borderId="7" xfId="1" applyNumberFormat="1" applyBorder="1" applyProtection="1"/>
    <xf numFmtId="0" fontId="1" fillId="0" borderId="4" xfId="1" applyBorder="1" applyProtection="1"/>
    <xf numFmtId="164" fontId="1" fillId="0" borderId="4" xfId="1" applyNumberFormat="1" applyBorder="1" applyProtection="1"/>
    <xf numFmtId="0" fontId="1" fillId="0" borderId="1" xfId="1" applyBorder="1" applyProtection="1"/>
    <xf numFmtId="164" fontId="1" fillId="0" borderId="1" xfId="1" applyNumberFormat="1" applyBorder="1" applyProtection="1"/>
    <xf numFmtId="0" fontId="23" fillId="0" borderId="0" xfId="0" applyFont="1" applyAlignment="1" applyProtection="1">
      <alignment horizontal="left" wrapText="1"/>
      <protection hidden="1"/>
    </xf>
    <xf numFmtId="0" fontId="1" fillId="0" borderId="0" xfId="1" applyAlignment="1" applyProtection="1">
      <alignment horizontal="left" wrapText="1" indent="1"/>
    </xf>
    <xf numFmtId="0" fontId="1" fillId="0" borderId="0" xfId="1" applyAlignment="1" applyProtection="1">
      <alignment wrapText="1"/>
    </xf>
    <xf numFmtId="0" fontId="1" fillId="0" borderId="0" xfId="1" applyAlignment="1">
      <alignment horizontal="center"/>
    </xf>
    <xf numFmtId="0" fontId="17" fillId="0" borderId="0" xfId="1" applyFont="1" applyAlignment="1" applyProtection="1">
      <alignment horizontal="center" wrapText="1"/>
    </xf>
    <xf numFmtId="0" fontId="1" fillId="0" borderId="0" xfId="1" applyAlignment="1" applyProtection="1">
      <alignment horizontal="center" wrapText="1"/>
    </xf>
    <xf numFmtId="0" fontId="1" fillId="4" borderId="0" xfId="1" applyFill="1" applyAlignment="1" applyProtection="1">
      <alignment horizontal="left" indent="2"/>
    </xf>
    <xf numFmtId="0" fontId="1" fillId="4" borderId="0" xfId="1" applyFill="1" applyProtection="1"/>
    <xf numFmtId="0" fontId="1" fillId="5" borderId="0" xfId="1" applyFill="1" applyAlignment="1" applyProtection="1">
      <alignment horizontal="left" indent="2"/>
    </xf>
    <xf numFmtId="0" fontId="1" fillId="5" borderId="0" xfId="1" applyFill="1" applyProtection="1"/>
    <xf numFmtId="0" fontId="6" fillId="4" borderId="0" xfId="1" applyFont="1" applyFill="1" applyAlignment="1" applyProtection="1">
      <alignment horizontal="center" vertical="center"/>
      <protection locked="0"/>
    </xf>
    <xf numFmtId="167" fontId="26" fillId="4" borderId="5" xfId="4" applyNumberFormat="1" applyFont="1" applyFill="1" applyBorder="1" applyProtection="1">
      <protection locked="0"/>
    </xf>
    <xf numFmtId="167" fontId="26" fillId="4" borderId="28" xfId="4" applyNumberFormat="1" applyFont="1" applyFill="1" applyBorder="1" applyProtection="1">
      <protection locked="0"/>
    </xf>
    <xf numFmtId="166" fontId="26" fillId="4" borderId="28" xfId="3" applyNumberFormat="1" applyFont="1" applyFill="1" applyBorder="1" applyProtection="1">
      <protection locked="0"/>
    </xf>
    <xf numFmtId="3" fontId="26" fillId="4" borderId="28" xfId="1" applyNumberFormat="1" applyFont="1" applyFill="1" applyBorder="1" applyProtection="1">
      <protection locked="0"/>
    </xf>
    <xf numFmtId="3" fontId="26" fillId="4" borderId="13" xfId="1" applyNumberFormat="1" applyFont="1" applyFill="1" applyBorder="1" applyProtection="1">
      <protection locked="0"/>
    </xf>
    <xf numFmtId="167" fontId="3" fillId="0" borderId="5" xfId="1" applyNumberFormat="1" applyFont="1" applyBorder="1" applyProtection="1"/>
    <xf numFmtId="167" fontId="25" fillId="0" borderId="28" xfId="4" applyNumberFormat="1" applyFont="1" applyFill="1" applyBorder="1" applyProtection="1"/>
    <xf numFmtId="166" fontId="3" fillId="0" borderId="28" xfId="1" applyNumberFormat="1" applyFont="1" applyBorder="1" applyProtection="1"/>
    <xf numFmtId="3" fontId="3" fillId="0" borderId="28" xfId="1" applyNumberFormat="1" applyFont="1" applyBorder="1" applyProtection="1"/>
    <xf numFmtId="3" fontId="3" fillId="0" borderId="13" xfId="1" applyNumberFormat="1" applyFont="1" applyBorder="1" applyProtection="1"/>
    <xf numFmtId="10" fontId="26" fillId="4" borderId="16" xfId="1" applyNumberFormat="1" applyFont="1" applyFill="1" applyBorder="1" applyProtection="1"/>
    <xf numFmtId="164" fontId="2" fillId="5" borderId="4" xfId="1" applyNumberFormat="1" applyFont="1" applyFill="1" applyBorder="1" applyProtection="1"/>
    <xf numFmtId="164" fontId="2" fillId="5" borderId="23" xfId="1" applyNumberFormat="1" applyFont="1" applyFill="1" applyBorder="1" applyProtection="1"/>
    <xf numFmtId="164" fontId="2" fillId="5" borderId="22" xfId="1" applyNumberFormat="1" applyFont="1" applyFill="1" applyBorder="1" applyProtection="1"/>
    <xf numFmtId="164" fontId="2" fillId="5" borderId="21" xfId="1" applyNumberFormat="1" applyFont="1" applyFill="1" applyBorder="1" applyProtection="1"/>
    <xf numFmtId="164" fontId="2" fillId="5" borderId="7" xfId="1" applyNumberFormat="1" applyFont="1" applyFill="1" applyBorder="1" applyProtection="1"/>
    <xf numFmtId="164" fontId="2" fillId="5" borderId="20" xfId="1" applyNumberFormat="1" applyFont="1" applyFill="1" applyBorder="1" applyProtection="1"/>
    <xf numFmtId="164" fontId="2" fillId="5" borderId="19" xfId="1" applyNumberFormat="1" applyFont="1" applyFill="1" applyBorder="1" applyProtection="1"/>
    <xf numFmtId="164" fontId="2" fillId="5" borderId="18" xfId="1" applyNumberFormat="1" applyFont="1" applyFill="1" applyBorder="1" applyProtection="1"/>
    <xf numFmtId="164" fontId="2" fillId="5" borderId="13" xfId="1" applyNumberFormat="1" applyFont="1" applyFill="1" applyBorder="1" applyProtection="1"/>
    <xf numFmtId="164" fontId="2" fillId="5" borderId="12" xfId="1" applyNumberFormat="1" applyFont="1" applyFill="1" applyBorder="1" applyProtection="1"/>
    <xf numFmtId="164" fontId="2" fillId="5" borderId="11" xfId="1" applyNumberFormat="1" applyFont="1" applyFill="1" applyBorder="1" applyProtection="1"/>
    <xf numFmtId="164" fontId="2" fillId="5" borderId="1" xfId="1" applyNumberFormat="1" applyFont="1" applyFill="1" applyBorder="1" applyProtection="1"/>
    <xf numFmtId="164" fontId="2" fillId="5" borderId="6" xfId="1" applyNumberFormat="1" applyFont="1" applyFill="1" applyBorder="1" applyProtection="1"/>
    <xf numFmtId="164" fontId="2" fillId="5" borderId="2" xfId="1" applyNumberFormat="1" applyFont="1" applyFill="1" applyBorder="1" applyProtection="1"/>
    <xf numFmtId="164" fontId="2" fillId="5" borderId="5" xfId="1" applyNumberFormat="1" applyFont="1" applyFill="1" applyBorder="1" applyProtection="1"/>
    <xf numFmtId="164" fontId="2" fillId="5" borderId="3" xfId="1" applyNumberFormat="1" applyFont="1" applyFill="1" applyBorder="1" applyProtection="1"/>
    <xf numFmtId="164" fontId="27" fillId="5" borderId="4" xfId="1" applyNumberFormat="1" applyFont="1" applyFill="1" applyBorder="1" applyProtection="1"/>
  </cellXfs>
  <cellStyles count="5">
    <cellStyle name="Comma 2" xfId="2" xr:uid="{E03AFCED-479F-460B-BF4A-FB5B912182E5}"/>
    <cellStyle name="Currency 2" xfId="3" xr:uid="{693AC727-30A5-4354-BB55-D26A9DB9A7FE}"/>
    <cellStyle name="Normal" xfId="0" builtinId="0"/>
    <cellStyle name="Normal 2" xfId="1" xr:uid="{10DC0822-9273-4CA7-88E0-D51B1742C241}"/>
    <cellStyle name="Percent 2" xfId="4" xr:uid="{9C2EB411-64E2-4658-935E-511088CBA7BC}"/>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MAXIMUS Colors Revised">
      <a:dk1>
        <a:srgbClr val="545487"/>
      </a:dk1>
      <a:lt1>
        <a:sysClr val="window" lastClr="FFFFFF"/>
      </a:lt1>
      <a:dk2>
        <a:srgbClr val="205794"/>
      </a:dk2>
      <a:lt2>
        <a:srgbClr val="E5EAF6"/>
      </a:lt2>
      <a:accent1>
        <a:srgbClr val="7676B8"/>
      </a:accent1>
      <a:accent2>
        <a:srgbClr val="4E7B2F"/>
      </a:accent2>
      <a:accent3>
        <a:srgbClr val="CA5C28"/>
      </a:accent3>
      <a:accent4>
        <a:srgbClr val="205794"/>
      </a:accent4>
      <a:accent5>
        <a:srgbClr val="8A7424"/>
      </a:accent5>
      <a:accent6>
        <a:srgbClr val="AAAAC3"/>
      </a:accent6>
      <a:hlink>
        <a:srgbClr val="7676B8"/>
      </a:hlink>
      <a:folHlink>
        <a:srgbClr val="DDDDEB"/>
      </a:folHlink>
    </a:clrScheme>
    <a:fontScheme name="MAXIMUS Standard">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AC21E-CE79-4625-A997-B568936CC4FB}">
  <dimension ref="A1:I42"/>
  <sheetViews>
    <sheetView tabSelected="1" zoomScale="90" zoomScaleNormal="90" zoomScalePageLayoutView="90" workbookViewId="0">
      <selection activeCell="B16" sqref="B16"/>
    </sheetView>
  </sheetViews>
  <sheetFormatPr defaultColWidth="8.19921875" defaultRowHeight="13.2"/>
  <cols>
    <col min="1" max="1" width="39.59765625" style="1" customWidth="1"/>
    <col min="2" max="2" width="23.5" style="1" customWidth="1"/>
    <col min="3" max="3" width="24.296875" style="1" customWidth="1"/>
    <col min="4" max="4" width="24.19921875" style="1" customWidth="1"/>
    <col min="5" max="5" width="17.8984375" style="1" customWidth="1"/>
    <col min="6" max="6" width="8.19921875" style="1"/>
    <col min="7" max="7" width="15.8984375" style="1" bestFit="1" customWidth="1"/>
    <col min="8" max="8" width="13.5" style="1" bestFit="1" customWidth="1"/>
    <col min="9" max="9" width="14.09765625" style="1" bestFit="1" customWidth="1"/>
    <col min="10" max="16384" width="8.19921875" style="1"/>
  </cols>
  <sheetData>
    <row r="1" spans="1:6" ht="15.6">
      <c r="B1" s="11" t="s">
        <v>34</v>
      </c>
      <c r="C1" s="167" t="s">
        <v>41</v>
      </c>
      <c r="D1" s="157" t="s">
        <v>155</v>
      </c>
      <c r="E1" s="157"/>
    </row>
    <row r="2" spans="1:6" ht="15.6">
      <c r="B2" s="11" t="s">
        <v>154</v>
      </c>
      <c r="C2" s="111">
        <v>2018</v>
      </c>
      <c r="D2" s="157"/>
      <c r="E2" s="157"/>
    </row>
    <row r="3" spans="1:6">
      <c r="A3" s="112" t="s">
        <v>156</v>
      </c>
      <c r="B3" s="58"/>
      <c r="C3" s="58"/>
      <c r="D3" s="58"/>
      <c r="E3" s="58"/>
      <c r="F3" s="58"/>
    </row>
    <row r="4" spans="1:6" ht="25.8" customHeight="1">
      <c r="A4" s="158" t="s">
        <v>158</v>
      </c>
      <c r="B4" s="158"/>
      <c r="C4" s="158"/>
      <c r="D4" s="158"/>
      <c r="E4" s="158"/>
      <c r="F4" s="158"/>
    </row>
    <row r="5" spans="1:6">
      <c r="A5" s="113" t="s">
        <v>157</v>
      </c>
      <c r="B5" s="113"/>
      <c r="C5" s="113"/>
      <c r="D5" s="113"/>
      <c r="E5" s="113"/>
      <c r="F5" s="113"/>
    </row>
    <row r="6" spans="1:6">
      <c r="A6" s="113" t="s">
        <v>31</v>
      </c>
      <c r="B6" s="113"/>
      <c r="C6" s="113"/>
      <c r="D6" s="113"/>
      <c r="E6" s="113"/>
      <c r="F6" s="113"/>
    </row>
    <row r="7" spans="1:6">
      <c r="A7" s="58"/>
      <c r="B7" s="58"/>
      <c r="C7" s="58"/>
      <c r="D7" s="58"/>
      <c r="E7" s="58"/>
      <c r="F7" s="58"/>
    </row>
    <row r="8" spans="1:6" ht="29.4" customHeight="1">
      <c r="A8" s="159" t="s">
        <v>159</v>
      </c>
      <c r="B8" s="159"/>
      <c r="C8" s="159"/>
      <c r="D8" s="159"/>
      <c r="E8" s="159"/>
      <c r="F8" s="159"/>
    </row>
    <row r="9" spans="1:6">
      <c r="A9" s="58"/>
      <c r="B9" s="58"/>
      <c r="C9" s="58"/>
      <c r="D9" s="58"/>
      <c r="E9" s="58"/>
      <c r="F9" s="58"/>
    </row>
    <row r="10" spans="1:6">
      <c r="A10" s="112" t="s">
        <v>160</v>
      </c>
      <c r="B10" s="58"/>
      <c r="C10" s="58"/>
      <c r="D10" s="58"/>
      <c r="E10" s="58"/>
      <c r="F10" s="58"/>
    </row>
    <row r="11" spans="1:6">
      <c r="A11" s="163" t="s">
        <v>163</v>
      </c>
      <c r="B11" s="164"/>
      <c r="C11" s="164"/>
      <c r="D11" s="164"/>
      <c r="E11" s="58"/>
      <c r="F11" s="58"/>
    </row>
    <row r="12" spans="1:6">
      <c r="A12" s="165" t="s">
        <v>161</v>
      </c>
      <c r="B12" s="166"/>
      <c r="C12" s="166"/>
      <c r="D12" s="166"/>
      <c r="E12" s="58"/>
      <c r="F12" s="58"/>
    </row>
    <row r="13" spans="1:6">
      <c r="A13" s="114" t="s">
        <v>162</v>
      </c>
      <c r="B13" s="58"/>
      <c r="C13" s="58"/>
      <c r="D13" s="58"/>
      <c r="E13" s="58"/>
      <c r="F13" s="58"/>
    </row>
    <row r="14" spans="1:6" ht="13.8" thickBot="1">
      <c r="A14" s="58"/>
      <c r="B14" s="58"/>
      <c r="C14" s="58"/>
      <c r="D14" s="58"/>
      <c r="E14" s="58"/>
      <c r="F14" s="58"/>
    </row>
    <row r="15" spans="1:6" ht="27" thickBot="1">
      <c r="A15" s="115" t="s">
        <v>150</v>
      </c>
      <c r="B15" s="116" t="s">
        <v>30</v>
      </c>
      <c r="C15" s="117" t="s">
        <v>21</v>
      </c>
      <c r="D15" s="58"/>
      <c r="E15" s="58"/>
      <c r="F15" s="58"/>
    </row>
    <row r="16" spans="1:6" ht="25.5" customHeight="1">
      <c r="A16" s="118" t="s">
        <v>29</v>
      </c>
      <c r="B16" s="168">
        <f t="shared" ref="B16:B21" si="0">C16</f>
        <v>0.94368028665549331</v>
      </c>
      <c r="C16" s="173">
        <f>IF('State Performance Input Sheet'!B1="IV-D",'State Performance Input Sheet'!C1,'State Performance Input Sheet'!D1)</f>
        <v>0.94368028665549331</v>
      </c>
      <c r="D16" s="58"/>
      <c r="E16" s="58"/>
      <c r="F16" s="58"/>
    </row>
    <row r="17" spans="1:6" ht="13.8">
      <c r="A17" s="119" t="s">
        <v>28</v>
      </c>
      <c r="B17" s="169">
        <f t="shared" si="0"/>
        <v>0.8961772962391501</v>
      </c>
      <c r="C17" s="174">
        <f>'State Performance Input Sheet'!E1</f>
        <v>0.8961772962391501</v>
      </c>
      <c r="D17" s="58"/>
      <c r="E17" s="58"/>
      <c r="F17" s="58"/>
    </row>
    <row r="18" spans="1:6" ht="13.8">
      <c r="A18" s="119" t="s">
        <v>27</v>
      </c>
      <c r="B18" s="169">
        <f t="shared" si="0"/>
        <v>0.65012597781499604</v>
      </c>
      <c r="C18" s="174">
        <f>'State Performance Input Sheet'!F1</f>
        <v>0.65012597781499604</v>
      </c>
      <c r="D18" s="58"/>
      <c r="E18" s="58"/>
      <c r="F18" s="58"/>
    </row>
    <row r="19" spans="1:6" ht="13.8">
      <c r="A19" s="119" t="s">
        <v>26</v>
      </c>
      <c r="B19" s="169">
        <f t="shared" si="0"/>
        <v>0.65919124072061941</v>
      </c>
      <c r="C19" s="174">
        <f>'State Performance Input Sheet'!G1</f>
        <v>0.65919124072061941</v>
      </c>
      <c r="D19" s="58"/>
      <c r="E19" s="58"/>
      <c r="F19" s="58"/>
    </row>
    <row r="20" spans="1:6">
      <c r="A20" s="119" t="s">
        <v>25</v>
      </c>
      <c r="B20" s="170">
        <f t="shared" si="0"/>
        <v>6.19</v>
      </c>
      <c r="C20" s="175">
        <f>ROUND('State Performance Input Sheet'!H1,2)</f>
        <v>6.19</v>
      </c>
      <c r="D20" s="58"/>
      <c r="E20" s="58"/>
      <c r="F20" s="58"/>
    </row>
    <row r="21" spans="1:6">
      <c r="A21" s="120" t="s">
        <v>24</v>
      </c>
      <c r="B21" s="171">
        <f t="shared" si="0"/>
        <v>294242</v>
      </c>
      <c r="C21" s="176">
        <f>'State Performance Input Sheet'!J1</f>
        <v>294242</v>
      </c>
      <c r="D21" s="58"/>
      <c r="E21" s="58"/>
      <c r="F21" s="58"/>
    </row>
    <row r="22" spans="1:6" ht="27" thickBot="1">
      <c r="A22" s="121" t="s">
        <v>23</v>
      </c>
      <c r="B22" s="172">
        <f>'State Performance Input Sheet'!W1/C27</f>
        <v>2663.4306750653222</v>
      </c>
      <c r="C22" s="177">
        <f>'State Performance Input Sheet'!W1/C27</f>
        <v>2663.4306750653222</v>
      </c>
      <c r="D22" s="58"/>
      <c r="E22" s="58"/>
      <c r="F22" s="58"/>
    </row>
    <row r="23" spans="1:6" ht="13.8" thickBot="1">
      <c r="A23" s="62"/>
      <c r="B23" s="10"/>
      <c r="C23" s="122"/>
      <c r="D23" s="123"/>
      <c r="E23" s="58"/>
      <c r="F23" s="58"/>
    </row>
    <row r="24" spans="1:6" ht="27" thickBot="1">
      <c r="A24" s="115" t="s">
        <v>151</v>
      </c>
      <c r="B24" s="124" t="s">
        <v>22</v>
      </c>
      <c r="C24" s="125" t="s">
        <v>21</v>
      </c>
      <c r="D24" s="58"/>
      <c r="E24" s="58"/>
      <c r="F24" s="58"/>
    </row>
    <row r="25" spans="1:6">
      <c r="A25" s="118" t="s">
        <v>20</v>
      </c>
      <c r="B25" s="126">
        <f>'National Incentive Pool'!B1</f>
        <v>575000000</v>
      </c>
      <c r="C25" s="127"/>
      <c r="D25" s="128"/>
      <c r="E25" s="58"/>
      <c r="F25" s="58"/>
    </row>
    <row r="26" spans="1:6">
      <c r="A26" s="119" t="s">
        <v>19</v>
      </c>
      <c r="B26" s="178">
        <f>'State Performance Input Sheet'!I1</f>
        <v>0.5</v>
      </c>
      <c r="C26" s="129"/>
      <c r="D26" s="128"/>
      <c r="E26" s="58"/>
      <c r="F26" s="58"/>
    </row>
    <row r="27" spans="1:6" ht="27" thickBot="1">
      <c r="A27" s="121" t="s">
        <v>18</v>
      </c>
      <c r="B27" s="195">
        <f>B17*B21</f>
        <v>263693</v>
      </c>
      <c r="C27" s="130">
        <f>'State Performance Input Sheet'!K1</f>
        <v>263693</v>
      </c>
      <c r="D27" s="58"/>
      <c r="E27" s="58"/>
      <c r="F27" s="58"/>
    </row>
    <row r="28" spans="1:6" ht="13.8" thickBot="1">
      <c r="A28" s="58"/>
      <c r="B28" s="58"/>
      <c r="C28" s="58"/>
      <c r="D28" s="128"/>
      <c r="E28" s="58"/>
      <c r="F28" s="58"/>
    </row>
    <row r="29" spans="1:6" ht="27" thickBot="1">
      <c r="A29" s="131" t="s">
        <v>152</v>
      </c>
      <c r="B29" s="132" t="s">
        <v>17</v>
      </c>
      <c r="C29" s="133" t="s">
        <v>16</v>
      </c>
      <c r="D29" s="134" t="s">
        <v>15</v>
      </c>
      <c r="E29" s="135" t="s">
        <v>14</v>
      </c>
      <c r="F29" s="58"/>
    </row>
    <row r="30" spans="1:6">
      <c r="A30" s="136" t="s">
        <v>13</v>
      </c>
      <c r="B30" s="8">
        <f>'State Performance Input Sheet'!O1</f>
        <v>456601694</v>
      </c>
      <c r="C30" s="7">
        <f>'State Performance Input Sheet'!L1</f>
        <v>8253112</v>
      </c>
      <c r="D30" s="6">
        <f>'State Performance Input Sheet'!M1</f>
        <v>104792837</v>
      </c>
      <c r="E30" s="5">
        <f>'State Performance Input Sheet'!N1</f>
        <v>343555745</v>
      </c>
      <c r="F30" s="58"/>
    </row>
    <row r="31" spans="1:6" ht="13.8" thickBot="1">
      <c r="A31" s="119" t="s">
        <v>12</v>
      </c>
      <c r="B31" s="179">
        <f>B22*B18*B27</f>
        <v>456601693.99999994</v>
      </c>
      <c r="C31" s="179">
        <f>$B$31*'State Performance Input Sheet'!L1/('State Performance Input Sheet'!$L$1+'State Performance Input Sheet'!$M$1+'State Performance Input Sheet'!$N$1)</f>
        <v>8253111.9999999991</v>
      </c>
      <c r="D31" s="179">
        <f>$B$31*'State Performance Input Sheet'!M1/('State Performance Input Sheet'!$L$1+'State Performance Input Sheet'!$M$1+'State Performance Input Sheet'!$N$1)</f>
        <v>104792836.99999999</v>
      </c>
      <c r="E31" s="179">
        <f>$B$31*'State Performance Input Sheet'!N1/('State Performance Input Sheet'!$L$1+'State Performance Input Sheet'!$M$1+'State Performance Input Sheet'!$N$1)</f>
        <v>343555744.99999994</v>
      </c>
      <c r="F31" s="58"/>
    </row>
    <row r="32" spans="1:6" ht="13.8" thickTop="1">
      <c r="A32" s="137" t="s">
        <v>11</v>
      </c>
      <c r="B32" s="138">
        <f>'State Performance Input Sheet'!S1</f>
        <v>175694509</v>
      </c>
      <c r="C32" s="139">
        <f>'State Performance Input Sheet'!P1</f>
        <v>6489308</v>
      </c>
      <c r="D32" s="80">
        <f>'State Performance Input Sheet'!Q1</f>
        <v>74043204</v>
      </c>
      <c r="E32" s="140">
        <f>'State Performance Input Sheet'!R1</f>
        <v>95161997</v>
      </c>
      <c r="F32" s="58"/>
    </row>
    <row r="33" spans="1:9" ht="13.8" thickBot="1">
      <c r="A33" s="141" t="s">
        <v>10</v>
      </c>
      <c r="B33" s="179">
        <f>SUM(C33:E33)</f>
        <v>175694508.99999997</v>
      </c>
      <c r="C33" s="180">
        <f>C31*'State Performance Input Sheet'!P1/'State Performance Input Sheet'!L1</f>
        <v>6489307.9999999991</v>
      </c>
      <c r="D33" s="181">
        <f>D31*'State Performance Input Sheet'!Q1/'State Performance Input Sheet'!M1</f>
        <v>74043203.999999985</v>
      </c>
      <c r="E33" s="182">
        <f>E31*'State Performance Input Sheet'!R1/'State Performance Input Sheet'!N1</f>
        <v>95161996.999999985</v>
      </c>
      <c r="F33" s="58"/>
    </row>
    <row r="34" spans="1:9" ht="14.4" thickTop="1">
      <c r="A34" s="120" t="s">
        <v>9</v>
      </c>
      <c r="B34" s="183">
        <f>B31+B33</f>
        <v>632296202.99999988</v>
      </c>
      <c r="C34" s="184">
        <f>C31+C33</f>
        <v>14742419.999999998</v>
      </c>
      <c r="D34" s="185">
        <f>D31+D33</f>
        <v>178836040.99999997</v>
      </c>
      <c r="E34" s="186">
        <f>E31+E33</f>
        <v>438717741.99999994</v>
      </c>
      <c r="F34" s="58"/>
      <c r="G34" s="4"/>
      <c r="H34" s="4"/>
      <c r="I34" s="4"/>
    </row>
    <row r="35" spans="1:9" ht="13.8">
      <c r="A35" s="142" t="s">
        <v>8</v>
      </c>
      <c r="B35" s="143">
        <f>'State Performance Input Sheet'!AA1</f>
        <v>632296203</v>
      </c>
      <c r="C35" s="144">
        <f>'State Performance Input Sheet'!X1</f>
        <v>14742420</v>
      </c>
      <c r="D35" s="145">
        <f>'State Performance Input Sheet'!Y1</f>
        <v>178836041</v>
      </c>
      <c r="E35" s="146">
        <f>'State Performance Input Sheet'!Z1</f>
        <v>438717742</v>
      </c>
      <c r="F35" s="58"/>
      <c r="G35" s="4"/>
    </row>
    <row r="36" spans="1:9" ht="13.8" thickBot="1">
      <c r="A36" s="121" t="s">
        <v>7</v>
      </c>
      <c r="B36" s="187">
        <f>SUM(C36:E36)</f>
        <v>7371210.4999999991</v>
      </c>
      <c r="C36" s="188">
        <f>(1-B26)*C34*('State Performance Input Sheet'!AH1+'State Performance Input Sheet'!AI1)/('State Performance Input Sheet'!AZ1+'State Performance Input Sheet'!BA1)</f>
        <v>7371209.9999999991</v>
      </c>
      <c r="D36" s="189">
        <f>(1-B26)*D31*'State Performance Input Sheet'!AJ1/'State Performance Input Sheet'!M1*('State Performance Input Sheet'!AJ1)/'State Performance Input Sheet'!BB1</f>
        <v>0.49999999999999994</v>
      </c>
      <c r="E36" s="147"/>
      <c r="F36" s="58"/>
      <c r="G36" s="3"/>
      <c r="H36" s="3"/>
      <c r="I36" s="3"/>
    </row>
    <row r="37" spans="1:9" ht="13.8" thickBot="1">
      <c r="A37" s="58"/>
      <c r="B37" s="58"/>
      <c r="C37" s="58"/>
      <c r="D37" s="58"/>
      <c r="E37" s="58"/>
      <c r="F37" s="58"/>
    </row>
    <row r="38" spans="1:9" ht="27" thickBot="1">
      <c r="A38" s="148" t="s">
        <v>153</v>
      </c>
      <c r="B38" s="149" t="s">
        <v>6</v>
      </c>
      <c r="C38" s="149" t="s">
        <v>5</v>
      </c>
      <c r="D38" s="150" t="s">
        <v>4</v>
      </c>
      <c r="E38" s="149" t="s">
        <v>3</v>
      </c>
      <c r="F38" s="58"/>
    </row>
    <row r="39" spans="1:9">
      <c r="A39" s="151" t="s">
        <v>2</v>
      </c>
      <c r="B39" s="183">
        <f>B36</f>
        <v>7371210.4999999991</v>
      </c>
      <c r="C39" s="152">
        <f>'State Performance Input Sheet'!BH1</f>
        <v>7371210.5</v>
      </c>
      <c r="D39" s="191">
        <f>B39-C39</f>
        <v>0</v>
      </c>
      <c r="E39" s="193">
        <f>D39/0.34</f>
        <v>0</v>
      </c>
      <c r="F39" s="58"/>
    </row>
    <row r="40" spans="1:9" ht="13.8" thickBot="1">
      <c r="A40" s="153" t="s">
        <v>1</v>
      </c>
      <c r="B40" s="179">
        <f>Model!K1</f>
        <v>13521757.469374618</v>
      </c>
      <c r="C40" s="154">
        <f>Model!L1</f>
        <v>13521757.469374618</v>
      </c>
      <c r="D40" s="179">
        <f>B40-C40</f>
        <v>0</v>
      </c>
      <c r="E40" s="194">
        <f>IF(C2&lt;2008,D40/0.34,D40)</f>
        <v>0</v>
      </c>
      <c r="F40" s="58"/>
    </row>
    <row r="41" spans="1:9" ht="14.4" thickTop="1" thickBot="1">
      <c r="A41" s="155" t="s">
        <v>0</v>
      </c>
      <c r="B41" s="190">
        <f>SUM(B39:B40)</f>
        <v>20892967.969374616</v>
      </c>
      <c r="C41" s="156">
        <f>SUM(C39:C40)</f>
        <v>20892967.969374619</v>
      </c>
      <c r="D41" s="192">
        <f>D39+D40</f>
        <v>0</v>
      </c>
      <c r="E41" s="190">
        <f>E39+E40</f>
        <v>0</v>
      </c>
      <c r="F41" s="58"/>
    </row>
    <row r="42" spans="1:9">
      <c r="A42" s="58"/>
      <c r="B42" s="58"/>
      <c r="C42" s="67"/>
      <c r="D42" s="58"/>
      <c r="E42" s="58"/>
      <c r="F42" s="58"/>
    </row>
  </sheetData>
  <mergeCells count="3">
    <mergeCell ref="D1:E2"/>
    <mergeCell ref="A4:F4"/>
    <mergeCell ref="A8:F8"/>
  </mergeCells>
  <pageMargins left="0.75" right="0.75" top="0.25" bottom="1" header="0" footer="0.5"/>
  <pageSetup scale="75" orientation="landscape" horizontalDpi="300" verticalDpi="300" r:id="rId1"/>
  <headerFooter alignWithMargins="0">
    <oddFooter>&amp;L&amp;K000000Projections are estimates only.
Printed &amp;D&amp;R&amp;"-,Bold"&amp;K000000MAXIMUS</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B0E93AA-7B59-47E5-B0F4-7F5B93706191}">
          <x14:formula1>
            <xm:f>Model!$A$4:$A$57</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E2841-732F-4850-B772-E85D3AE67471}">
  <dimension ref="A1:S64"/>
  <sheetViews>
    <sheetView workbookViewId="0">
      <pane xSplit="1" ySplit="3" topLeftCell="D49" activePane="bottomRight" state="frozen"/>
      <selection activeCell="C37" sqref="C37"/>
      <selection pane="topRight" activeCell="C37" sqref="C37"/>
      <selection pane="bottomLeft" activeCell="C37" sqref="C37"/>
      <selection pane="bottomRight" activeCell="A3" sqref="A3:L63"/>
    </sheetView>
  </sheetViews>
  <sheetFormatPr defaultRowHeight="13.8"/>
  <cols>
    <col min="1" max="1" width="12.296875" style="1" bestFit="1" customWidth="1"/>
    <col min="2" max="2" width="13.3984375" style="1" bestFit="1" customWidth="1"/>
    <col min="3" max="6" width="9.59765625" style="1" bestFit="1" customWidth="1"/>
    <col min="7" max="7" width="10.8984375" style="1" customWidth="1"/>
    <col min="8" max="8" width="10.69921875" style="1" bestFit="1" customWidth="1"/>
    <col min="9" max="9" width="18.796875" style="1" customWidth="1"/>
    <col min="10" max="10" width="13.8984375" style="1" customWidth="1"/>
    <col min="11" max="11" width="12.296875" style="1" bestFit="1" customWidth="1"/>
    <col min="12" max="12" width="12.296875" style="1" customWidth="1"/>
    <col min="13" max="13" width="19.796875" style="14" bestFit="1" customWidth="1"/>
    <col min="14" max="14" width="16.09765625" style="1" bestFit="1" customWidth="1"/>
    <col min="15" max="15" width="16.69921875" style="14" bestFit="1" customWidth="1"/>
    <col min="16" max="16" width="8.19921875" style="12" customWidth="1"/>
    <col min="17" max="17" width="8.69921875" style="13" bestFit="1" customWidth="1"/>
    <col min="18" max="18" width="14.796875" style="12" bestFit="1" customWidth="1"/>
    <col min="19" max="19" width="14.796875" style="1" bestFit="1" customWidth="1"/>
    <col min="20" max="16384" width="8.796875" style="1"/>
  </cols>
  <sheetData>
    <row r="1" spans="1:19" s="28" customFormat="1">
      <c r="A1" s="28" t="str">
        <f>Projections!C1</f>
        <v>Virginia</v>
      </c>
      <c r="B1" s="35">
        <f>IF('State Collections input sheet'!C1="157",2*(Projections!$C$34+Projections!$D$34)+Projections!$E$34,'State Collections input sheet'!B1+2*(Projections!$C$34-Projections!$C$35+Projections!$D$34-Projections!$D$35)+Projections!$E$34-Projections!$E$35)</f>
        <v>1066325470</v>
      </c>
      <c r="C1" s="18">
        <f>LOOKUP(Projections!$B$16,'Scoring Sheet'!$B$4:$B$35,'Scoring Sheet'!$D$4:$D$35)</f>
        <v>1</v>
      </c>
      <c r="D1" s="18">
        <f>LOOKUP(Projections!$B$17,'Scoring Sheet'!$B$4:$B$35,'Scoring Sheet'!$D$4:$D$35)</f>
        <v>1</v>
      </c>
      <c r="E1" s="18">
        <f>LOOKUP(Projections!$B$18,'Scoring Sheet'!$F$4:$F$45,'Scoring Sheet'!$H$4:$H$45)</f>
        <v>0.75</v>
      </c>
      <c r="F1" s="18">
        <f>0.75*LOOKUP(Projections!$B$19,'Scoring Sheet'!$F$4:$F$45,'Scoring Sheet'!$H$4:$H$45)</f>
        <v>0.5625</v>
      </c>
      <c r="G1" s="18">
        <f>0.75*LOOKUP(ROUND(Projections!$B$20,2),'Scoring Sheet'!B$39:C$46,'Scoring Sheet'!D$39:D$46)</f>
        <v>0.75</v>
      </c>
      <c r="H1" s="34">
        <f>SUM(C1:G1)</f>
        <v>4.0625</v>
      </c>
      <c r="I1" s="32">
        <f>B1*H1</f>
        <v>4331947221.875</v>
      </c>
      <c r="J1" s="33">
        <f>I1/$I$59</f>
        <v>2.3516099946738464E-2</v>
      </c>
      <c r="K1" s="17">
        <f>J1*$K$63</f>
        <v>13521757.469374618</v>
      </c>
      <c r="L1" s="32">
        <f>VLOOKUP($A$1,$A$4:$L$57,12,FALSE)</f>
        <v>13521757.469374618</v>
      </c>
      <c r="M1" s="31"/>
      <c r="O1" s="31"/>
      <c r="P1" s="29"/>
      <c r="Q1" s="30"/>
      <c r="R1" s="29"/>
    </row>
    <row r="2" spans="1:19">
      <c r="A2" s="16"/>
      <c r="B2" s="15"/>
      <c r="C2" s="160" t="s">
        <v>101</v>
      </c>
      <c r="D2" s="160"/>
      <c r="E2" s="160"/>
      <c r="F2" s="160"/>
      <c r="G2" s="160"/>
      <c r="H2" s="28"/>
      <c r="I2" s="27"/>
      <c r="K2" s="26"/>
      <c r="L2" s="26"/>
    </row>
    <row r="3" spans="1:19" ht="35.4" thickBot="1">
      <c r="A3" s="86" t="s">
        <v>100</v>
      </c>
      <c r="B3" s="87" t="s">
        <v>99</v>
      </c>
      <c r="C3" s="88" t="s">
        <v>98</v>
      </c>
      <c r="D3" s="88" t="s">
        <v>97</v>
      </c>
      <c r="E3" s="88" t="s">
        <v>96</v>
      </c>
      <c r="F3" s="89" t="s">
        <v>95</v>
      </c>
      <c r="G3" s="89" t="s">
        <v>94</v>
      </c>
      <c r="H3" s="90" t="s">
        <v>93</v>
      </c>
      <c r="I3" s="88" t="s">
        <v>92</v>
      </c>
      <c r="J3" s="88"/>
      <c r="K3" s="88" t="s">
        <v>91</v>
      </c>
      <c r="L3" s="88" t="s">
        <v>90</v>
      </c>
    </row>
    <row r="4" spans="1:19">
      <c r="A4" s="71" t="s">
        <v>89</v>
      </c>
      <c r="B4" s="67">
        <f>IF(A4=$A$1,0,'State Collections input sheet'!B6)</f>
        <v>473647158</v>
      </c>
      <c r="C4" s="91">
        <f>IF('State Performance Input Sheet'!B6="State",LOOKUP('State Performance Input Sheet'!D6,'Scoring Sheet'!$B$4:$B$35,'Scoring Sheet'!$D$4:$D$35),LOOKUP('State Performance Input Sheet'!C6,'Scoring Sheet'!$B$4:$B$35,'Scoring Sheet'!$D$4:$D$35))</f>
        <v>1</v>
      </c>
      <c r="D4" s="91">
        <f>LOOKUP('State Performance Input Sheet'!E6,'Scoring Sheet'!$B$4:$B$35,'Scoring Sheet'!$D$4:$D$35)</f>
        <v>1</v>
      </c>
      <c r="E4" s="91">
        <f>LOOKUP('State Performance Input Sheet'!F6,'Scoring Sheet'!$F$4:$F$45,'Scoring Sheet'!$H$4:$H$45)</f>
        <v>0.64</v>
      </c>
      <c r="F4" s="91">
        <f>0.75*LOOKUP('State Performance Input Sheet'!G6,'Scoring Sheet'!$F$4:$F$45,'Scoring Sheet'!$H$4:$H$45)</f>
        <v>0.51749999999999996</v>
      </c>
      <c r="G4" s="91">
        <f>IFERROR(0.75*LOOKUP(ROUND('State Performance Input Sheet'!H6,2),'Scoring Sheet'!B$39:C$46,'Scoring Sheet'!D$39:D$46),0)</f>
        <v>0.75</v>
      </c>
      <c r="H4" s="92">
        <f t="shared" ref="H4:H35" si="0">IFERROR(SUM(C4:G4),0)</f>
        <v>3.9075000000000002</v>
      </c>
      <c r="I4" s="93">
        <f>B4*H4*(1.05)^'National Incentive Pool'!$C$1</f>
        <v>1850776269.885</v>
      </c>
      <c r="J4" s="94">
        <f t="shared" ref="J4:J35" si="1">I4/$I$59</f>
        <v>1.0046992152141077E-2</v>
      </c>
      <c r="K4" s="93">
        <f t="shared" ref="K4:K35" si="2">J4*$K$63</f>
        <v>5777020.4874811191</v>
      </c>
      <c r="L4" s="93">
        <v>5777020</v>
      </c>
      <c r="M4" s="24"/>
      <c r="N4" s="23"/>
    </row>
    <row r="5" spans="1:19">
      <c r="A5" s="71" t="s">
        <v>88</v>
      </c>
      <c r="B5" s="67">
        <f>IF(A5=$A$1,0,'State Collections input sheet'!B7)</f>
        <v>140975978</v>
      </c>
      <c r="C5" s="91">
        <f>IF('State Performance Input Sheet'!B7="State",LOOKUP('State Performance Input Sheet'!D7,'Scoring Sheet'!$B$4:$B$35,'Scoring Sheet'!$D$4:$D$35),LOOKUP('State Performance Input Sheet'!C7,'Scoring Sheet'!$B$4:$B$35,'Scoring Sheet'!$D$4:$D$35))</f>
        <v>1</v>
      </c>
      <c r="D5" s="91">
        <f>LOOKUP('State Performance Input Sheet'!E7,'Scoring Sheet'!$B$4:$B$35,'Scoring Sheet'!$D$4:$D$35)</f>
        <v>1</v>
      </c>
      <c r="E5" s="91">
        <f>LOOKUP('State Performance Input Sheet'!F7,'Scoring Sheet'!$F$4:$F$45,'Scoring Sheet'!$H$4:$H$45)</f>
        <v>0.66</v>
      </c>
      <c r="F5" s="91">
        <f>0.75*LOOKUP('State Performance Input Sheet'!G7,'Scoring Sheet'!$F$4:$F$45,'Scoring Sheet'!$H$4:$H$45)</f>
        <v>0.5625</v>
      </c>
      <c r="G5" s="91">
        <f>IFERROR(0.75*LOOKUP(ROUND('State Performance Input Sheet'!H7,2),'Scoring Sheet'!B$39:C$46,'Scoring Sheet'!D$39:D$46),0)</f>
        <v>0.52499999999999991</v>
      </c>
      <c r="H5" s="92">
        <f t="shared" si="0"/>
        <v>3.7475000000000001</v>
      </c>
      <c r="I5" s="93">
        <f>B5*H5*(1.05)^'National Incentive Pool'!$C$1</f>
        <v>528307477.55500001</v>
      </c>
      <c r="J5" s="94">
        <f t="shared" si="1"/>
        <v>2.8679323196867793E-3</v>
      </c>
      <c r="K5" s="93">
        <f t="shared" si="2"/>
        <v>1649061.0838198981</v>
      </c>
      <c r="L5" s="93">
        <v>1649061.0838198981</v>
      </c>
      <c r="M5" s="24"/>
      <c r="N5" s="23"/>
      <c r="R5" s="25"/>
    </row>
    <row r="6" spans="1:19">
      <c r="A6" s="71" t="s">
        <v>87</v>
      </c>
      <c r="B6" s="67">
        <f>IF(A6=$A$1,0,'State Collections input sheet'!B8)</f>
        <v>529564088</v>
      </c>
      <c r="C6" s="91">
        <f>IF('State Performance Input Sheet'!B8="State",LOOKUP('State Performance Input Sheet'!D8,'Scoring Sheet'!$B$4:$B$35,'Scoring Sheet'!$D$4:$D$35),LOOKUP('State Performance Input Sheet'!C8,'Scoring Sheet'!$B$4:$B$35,'Scoring Sheet'!$D$4:$D$35))</f>
        <v>1</v>
      </c>
      <c r="D6" s="91">
        <f>LOOKUP('State Performance Input Sheet'!E8,'Scoring Sheet'!$B$4:$B$35,'Scoring Sheet'!$D$4:$D$35)</f>
        <v>1</v>
      </c>
      <c r="E6" s="91">
        <f>LOOKUP('State Performance Input Sheet'!F8,'Scoring Sheet'!$F$4:$F$45,'Scoring Sheet'!$H$4:$H$45)</f>
        <v>0.68</v>
      </c>
      <c r="F6" s="91">
        <f>0.75*LOOKUP('State Performance Input Sheet'!G8,'Scoring Sheet'!$F$4:$F$45,'Scoring Sheet'!$H$4:$H$45)</f>
        <v>0.50250000000000006</v>
      </c>
      <c r="G6" s="91">
        <f>IFERROR(0.75*LOOKUP(ROUND('State Performance Input Sheet'!H8,2),'Scoring Sheet'!B$39:C$46,'Scoring Sheet'!D$39:D$46),0)</f>
        <v>0.75</v>
      </c>
      <c r="H6" s="92">
        <f t="shared" si="0"/>
        <v>3.9325000000000001</v>
      </c>
      <c r="I6" s="93">
        <f>B6*H6*(1.05)^'National Incentive Pool'!$C$1</f>
        <v>2082510776.0599999</v>
      </c>
      <c r="J6" s="94">
        <f t="shared" si="1"/>
        <v>1.1304969576427577E-2</v>
      </c>
      <c r="K6" s="93">
        <f t="shared" si="2"/>
        <v>6500357.5064458568</v>
      </c>
      <c r="L6" s="93">
        <v>6500357.5064458568</v>
      </c>
      <c r="M6" s="24"/>
      <c r="N6" s="23"/>
    </row>
    <row r="7" spans="1:19">
      <c r="A7" s="71" t="s">
        <v>86</v>
      </c>
      <c r="B7" s="67">
        <f>IF(A7=$A$1,0,'State Collections input sheet'!B9)</f>
        <v>451079190</v>
      </c>
      <c r="C7" s="91">
        <f>IF('State Performance Input Sheet'!B9="State",LOOKUP('State Performance Input Sheet'!D9,'Scoring Sheet'!$B$4:$B$35,'Scoring Sheet'!$D$4:$D$35),LOOKUP('State Performance Input Sheet'!C9,'Scoring Sheet'!$B$4:$B$35,'Scoring Sheet'!$D$4:$D$35))</f>
        <v>1</v>
      </c>
      <c r="D7" s="91">
        <f>LOOKUP('State Performance Input Sheet'!E9,'Scoring Sheet'!$B$4:$B$35,'Scoring Sheet'!$D$4:$D$35)</f>
        <v>1</v>
      </c>
      <c r="E7" s="91">
        <f>LOOKUP('State Performance Input Sheet'!F9,'Scoring Sheet'!$F$4:$F$45,'Scoring Sheet'!$H$4:$H$45)</f>
        <v>0.75</v>
      </c>
      <c r="F7" s="91">
        <f>0.75*LOOKUP('State Performance Input Sheet'!G9,'Scoring Sheet'!$F$4:$F$45,'Scoring Sheet'!$H$4:$H$45)</f>
        <v>0.59250000000000003</v>
      </c>
      <c r="G7" s="91">
        <f>IFERROR(0.75*LOOKUP(ROUND('State Performance Input Sheet'!H9,2),'Scoring Sheet'!B$39:C$46,'Scoring Sheet'!D$39:D$46),0)</f>
        <v>0.75</v>
      </c>
      <c r="H7" s="92">
        <f t="shared" si="0"/>
        <v>4.0925000000000002</v>
      </c>
      <c r="I7" s="93">
        <f>B7*H7*(1.05)^'National Incentive Pool'!$C$1</f>
        <v>1846041585.075</v>
      </c>
      <c r="J7" s="94">
        <f t="shared" si="1"/>
        <v>1.0021289779626926E-2</v>
      </c>
      <c r="K7" s="93">
        <f t="shared" si="2"/>
        <v>5762241.6232854826</v>
      </c>
      <c r="L7" s="93">
        <v>5762241.6232854826</v>
      </c>
      <c r="M7" s="24"/>
      <c r="N7" s="23"/>
    </row>
    <row r="8" spans="1:19">
      <c r="A8" s="71" t="s">
        <v>85</v>
      </c>
      <c r="B8" s="67">
        <f>IF(A8=$A$1,0,'State Collections input sheet'!B10)</f>
        <v>3945125020</v>
      </c>
      <c r="C8" s="91">
        <f>IF('State Performance Input Sheet'!B10="State",LOOKUP('State Performance Input Sheet'!D10,'Scoring Sheet'!$B$4:$B$35,'Scoring Sheet'!$D$4:$D$35),LOOKUP('State Performance Input Sheet'!C10,'Scoring Sheet'!$B$4:$B$35,'Scoring Sheet'!$D$4:$D$35))</f>
        <v>1</v>
      </c>
      <c r="D8" s="91">
        <f>LOOKUP('State Performance Input Sheet'!E10,'Scoring Sheet'!$B$4:$B$35,'Scoring Sheet'!$D$4:$D$35)</f>
        <v>1</v>
      </c>
      <c r="E8" s="91">
        <f>LOOKUP('State Performance Input Sheet'!F10,'Scoring Sheet'!$F$4:$F$45,'Scoring Sheet'!$H$4:$H$45)</f>
        <v>0.76</v>
      </c>
      <c r="F8" s="91">
        <f>0.75*LOOKUP('State Performance Input Sheet'!G10,'Scoring Sheet'!$F$4:$F$45,'Scoring Sheet'!$H$4:$H$45)</f>
        <v>0.57000000000000006</v>
      </c>
      <c r="G8" s="91">
        <f>IFERROR(0.75*LOOKUP(ROUND('State Performance Input Sheet'!H10,2),'Scoring Sheet'!B$39:C$46,'Scoring Sheet'!D$39:D$46),0)</f>
        <v>0.375</v>
      </c>
      <c r="H8" s="92">
        <f t="shared" si="0"/>
        <v>3.7050000000000001</v>
      </c>
      <c r="I8" s="93">
        <f>B8*H8*(1.05)^'National Incentive Pool'!$C$1</f>
        <v>14616688199.1</v>
      </c>
      <c r="J8" s="94">
        <f t="shared" si="1"/>
        <v>7.9347111812588619E-2</v>
      </c>
      <c r="K8" s="93">
        <f t="shared" si="2"/>
        <v>45624589.292238459</v>
      </c>
      <c r="L8" s="93">
        <v>45624589.292238459</v>
      </c>
      <c r="M8" s="24"/>
      <c r="N8" s="23"/>
    </row>
    <row r="9" spans="1:19">
      <c r="A9" s="71" t="s">
        <v>84</v>
      </c>
      <c r="B9" s="67">
        <f>IF(A9=$A$1,0,'State Collections input sheet'!B11)</f>
        <v>464549343</v>
      </c>
      <c r="C9" s="91">
        <f>IF('State Performance Input Sheet'!B11="State",LOOKUP('State Performance Input Sheet'!D11,'Scoring Sheet'!$B$4:$B$35,'Scoring Sheet'!$D$4:$D$35),LOOKUP('State Performance Input Sheet'!C11,'Scoring Sheet'!$B$4:$B$35,'Scoring Sheet'!$D$4:$D$35))</f>
        <v>1</v>
      </c>
      <c r="D9" s="91">
        <f>LOOKUP('State Performance Input Sheet'!E11,'Scoring Sheet'!$B$4:$B$35,'Scoring Sheet'!$D$4:$D$35)</f>
        <v>1</v>
      </c>
      <c r="E9" s="91">
        <f>LOOKUP('State Performance Input Sheet'!F11,'Scoring Sheet'!$F$4:$F$45,'Scoring Sheet'!$H$4:$H$45)</f>
        <v>0.74</v>
      </c>
      <c r="F9" s="91">
        <f>0.75*LOOKUP('State Performance Input Sheet'!G11,'Scoring Sheet'!$F$4:$F$45,'Scoring Sheet'!$H$4:$H$45)</f>
        <v>0.57750000000000001</v>
      </c>
      <c r="G9" s="91">
        <f>IFERROR(0.75*LOOKUP(ROUND('State Performance Input Sheet'!H11,2),'Scoring Sheet'!B$39:C$46,'Scoring Sheet'!D$39:D$46),0)</f>
        <v>0.60000000000000009</v>
      </c>
      <c r="H9" s="92">
        <f t="shared" si="0"/>
        <v>3.9175000000000004</v>
      </c>
      <c r="I9" s="93">
        <f>B9*H9*(1.05)^'National Incentive Pool'!$C$1</f>
        <v>1819872051.2025001</v>
      </c>
      <c r="J9" s="94">
        <f t="shared" si="1"/>
        <v>9.879227713173842E-3</v>
      </c>
      <c r="K9" s="93">
        <f t="shared" si="2"/>
        <v>5680555.935074959</v>
      </c>
      <c r="L9" s="93">
        <v>5680555.935074959</v>
      </c>
      <c r="M9" s="24"/>
      <c r="N9" s="23"/>
    </row>
    <row r="10" spans="1:19">
      <c r="A10" s="71" t="s">
        <v>83</v>
      </c>
      <c r="B10" s="67">
        <f>IF(A10=$A$1,0,'State Collections input sheet'!B12)</f>
        <v>452212815</v>
      </c>
      <c r="C10" s="91">
        <f>IF('State Performance Input Sheet'!B12="State",LOOKUP('State Performance Input Sheet'!D12,'Scoring Sheet'!$B$4:$B$35,'Scoring Sheet'!$D$4:$D$35),LOOKUP('State Performance Input Sheet'!C12,'Scoring Sheet'!$B$4:$B$35,'Scoring Sheet'!$D$4:$D$35))</f>
        <v>1</v>
      </c>
      <c r="D10" s="91">
        <f>LOOKUP('State Performance Input Sheet'!E12,'Scoring Sheet'!$B$4:$B$35,'Scoring Sheet'!$D$4:$D$35)</f>
        <v>1</v>
      </c>
      <c r="E10" s="91">
        <f>LOOKUP('State Performance Input Sheet'!F12,'Scoring Sheet'!$F$4:$F$45,'Scoring Sheet'!$H$4:$H$45)</f>
        <v>0.71</v>
      </c>
      <c r="F10" s="91">
        <f>0.75*LOOKUP('State Performance Input Sheet'!G12,'Scoring Sheet'!$F$4:$F$45,'Scoring Sheet'!$H$4:$H$45)</f>
        <v>0.51749999999999996</v>
      </c>
      <c r="G10" s="91">
        <f>IFERROR(0.75*LOOKUP(ROUND('State Performance Input Sheet'!H12,2),'Scoring Sheet'!B$39:C$46,'Scoring Sheet'!D$39:D$46),0)</f>
        <v>0.44999999999999996</v>
      </c>
      <c r="H10" s="92">
        <f t="shared" si="0"/>
        <v>3.6775000000000002</v>
      </c>
      <c r="I10" s="93">
        <f>B10*H10*(1.05)^'National Incentive Pool'!$C$1</f>
        <v>1663012627.1625001</v>
      </c>
      <c r="J10" s="94">
        <f t="shared" si="1"/>
        <v>9.0277118233482324E-3</v>
      </c>
      <c r="K10" s="93">
        <f t="shared" si="2"/>
        <v>5190934.2984252339</v>
      </c>
      <c r="L10" s="93">
        <v>5190934.2984252339</v>
      </c>
      <c r="M10" s="24"/>
      <c r="N10" s="23"/>
    </row>
    <row r="11" spans="1:19">
      <c r="A11" s="71" t="s">
        <v>82</v>
      </c>
      <c r="B11" s="67">
        <f>IF(A11=$A$1,0,'State Collections input sheet'!B13)</f>
        <v>129635313</v>
      </c>
      <c r="C11" s="91">
        <f>IF('State Performance Input Sheet'!B13="State",LOOKUP('State Performance Input Sheet'!D13,'Scoring Sheet'!$B$4:$B$35,'Scoring Sheet'!$D$4:$D$35),LOOKUP('State Performance Input Sheet'!C13,'Scoring Sheet'!$B$4:$B$35,'Scoring Sheet'!$D$4:$D$35))</f>
        <v>1</v>
      </c>
      <c r="D11" s="91">
        <f>LOOKUP('State Performance Input Sheet'!E13,'Scoring Sheet'!$B$4:$B$35,'Scoring Sheet'!$D$4:$D$35)</f>
        <v>0.9</v>
      </c>
      <c r="E11" s="91">
        <f>LOOKUP('State Performance Input Sheet'!F13,'Scoring Sheet'!$F$4:$F$45,'Scoring Sheet'!$H$4:$H$45)</f>
        <v>0.69</v>
      </c>
      <c r="F11" s="91">
        <f>0.75*LOOKUP('State Performance Input Sheet'!G13,'Scoring Sheet'!$F$4:$F$45,'Scoring Sheet'!$H$4:$H$45)</f>
        <v>0.48750000000000004</v>
      </c>
      <c r="G11" s="91">
        <f>IFERROR(0.75*LOOKUP(ROUND('State Performance Input Sheet'!H13,2),'Scoring Sheet'!B$39:C$46,'Scoring Sheet'!D$39:D$46),0)</f>
        <v>0.375</v>
      </c>
      <c r="H11" s="92">
        <f t="shared" si="0"/>
        <v>3.4524999999999997</v>
      </c>
      <c r="I11" s="93">
        <f>B11*H11*(1.05)^'National Incentive Pool'!$C$1</f>
        <v>447565918.13249993</v>
      </c>
      <c r="J11" s="94">
        <f t="shared" si="1"/>
        <v>2.4296244447322901E-3</v>
      </c>
      <c r="K11" s="93">
        <f t="shared" si="2"/>
        <v>1397034.0557210669</v>
      </c>
      <c r="L11" s="93">
        <v>1397034.0557210669</v>
      </c>
      <c r="M11" s="24"/>
      <c r="N11" s="23"/>
    </row>
    <row r="12" spans="1:19">
      <c r="A12" s="71" t="s">
        <v>81</v>
      </c>
      <c r="B12" s="67">
        <f>IF(A12=$A$1,0,'State Collections input sheet'!B14)</f>
        <v>452212815</v>
      </c>
      <c r="C12" s="91">
        <f>IF('State Performance Input Sheet'!B14="State",LOOKUP('State Performance Input Sheet'!D14,'Scoring Sheet'!$B$4:$B$35,'Scoring Sheet'!$D$4:$D$35),LOOKUP('State Performance Input Sheet'!C14,'Scoring Sheet'!$B$4:$B$35,'Scoring Sheet'!$D$4:$D$35))</f>
        <v>0.82</v>
      </c>
      <c r="D12" s="91">
        <f>LOOKUP('State Performance Input Sheet'!E14,'Scoring Sheet'!$B$4:$B$35,'Scoring Sheet'!$D$4:$D$35)</f>
        <v>0.96</v>
      </c>
      <c r="E12" s="91">
        <f>LOOKUP('State Performance Input Sheet'!F14,'Scoring Sheet'!$F$4:$F$45,'Scoring Sheet'!$H$4:$H$45)</f>
        <v>0.71</v>
      </c>
      <c r="F12" s="91">
        <f>0.75*LOOKUP('State Performance Input Sheet'!G14,'Scoring Sheet'!$F$4:$F$45,'Scoring Sheet'!$H$4:$H$45)</f>
        <v>0.50250000000000006</v>
      </c>
      <c r="G12" s="91">
        <f>IFERROR(0.75*LOOKUP(ROUND('State Performance Input Sheet'!H14,2),'Scoring Sheet'!B$39:C$46,'Scoring Sheet'!D$39:D$46),0)</f>
        <v>0.30000000000000004</v>
      </c>
      <c r="H12" s="92">
        <f t="shared" si="0"/>
        <v>3.2924999999999995</v>
      </c>
      <c r="I12" s="93">
        <f>B12*H12*(1.05)^'National Incentive Pool'!$C$1</f>
        <v>1488910693.3874998</v>
      </c>
      <c r="J12" s="94">
        <f t="shared" si="1"/>
        <v>8.0825944740650028E-3</v>
      </c>
      <c r="K12" s="93">
        <f t="shared" si="2"/>
        <v>4647491.8225873765</v>
      </c>
      <c r="L12" s="93">
        <v>4647491.8225873765</v>
      </c>
      <c r="M12" s="24"/>
      <c r="N12" s="23"/>
      <c r="S12" s="9"/>
    </row>
    <row r="13" spans="1:19">
      <c r="A13" s="71" t="s">
        <v>80</v>
      </c>
      <c r="B13" s="67">
        <f>IF(A13=$A$1,0,'State Collections input sheet'!B15)</f>
        <v>2965371801</v>
      </c>
      <c r="C13" s="91">
        <f>IF('State Performance Input Sheet'!B15="State",LOOKUP('State Performance Input Sheet'!D15,'Scoring Sheet'!$B$4:$B$35,'Scoring Sheet'!$D$4:$D$35),LOOKUP('State Performance Input Sheet'!C15,'Scoring Sheet'!$B$4:$B$35,'Scoring Sheet'!$D$4:$D$35))</f>
        <v>1</v>
      </c>
      <c r="D13" s="91">
        <f>LOOKUP('State Performance Input Sheet'!E15,'Scoring Sheet'!$B$4:$B$35,'Scoring Sheet'!$D$4:$D$35)</f>
        <v>1</v>
      </c>
      <c r="E13" s="91">
        <f>LOOKUP('State Performance Input Sheet'!F15,'Scoring Sheet'!$F$4:$F$45,'Scoring Sheet'!$H$4:$H$45)</f>
        <v>0.73</v>
      </c>
      <c r="F13" s="91">
        <f>0.75*LOOKUP('State Performance Input Sheet'!G15,'Scoring Sheet'!$F$4:$F$45,'Scoring Sheet'!$H$4:$H$45)</f>
        <v>0.59250000000000003</v>
      </c>
      <c r="G13" s="91">
        <f>IFERROR(0.75*LOOKUP(ROUND('State Performance Input Sheet'!H15,2),'Scoring Sheet'!B$39:C$46,'Scoring Sheet'!D$39:D$46),0)</f>
        <v>0.75</v>
      </c>
      <c r="H13" s="92">
        <f t="shared" si="0"/>
        <v>4.0724999999999998</v>
      </c>
      <c r="I13" s="93">
        <f>B13*H13*(1.05)^'National Incentive Pool'!$C$1</f>
        <v>12076476659.5725</v>
      </c>
      <c r="J13" s="94">
        <f t="shared" si="1"/>
        <v>6.5557500492363072E-2</v>
      </c>
      <c r="K13" s="93">
        <f t="shared" si="2"/>
        <v>37695562.783108763</v>
      </c>
      <c r="L13" s="93">
        <v>37695562.783108763</v>
      </c>
      <c r="M13" s="24"/>
      <c r="N13" s="23"/>
    </row>
    <row r="14" spans="1:19">
      <c r="A14" s="71" t="s">
        <v>79</v>
      </c>
      <c r="B14" s="67">
        <f>IF(A14=$A$1,0,'State Collections input sheet'!B16)</f>
        <v>1323466227</v>
      </c>
      <c r="C14" s="91">
        <f>IF('State Performance Input Sheet'!B16="State",LOOKUP('State Performance Input Sheet'!D16,'Scoring Sheet'!$B$4:$B$35,'Scoring Sheet'!$D$4:$D$35),LOOKUP('State Performance Input Sheet'!C16,'Scoring Sheet'!$B$4:$B$35,'Scoring Sheet'!$D$4:$D$35))</f>
        <v>1</v>
      </c>
      <c r="D14" s="91">
        <f>LOOKUP('State Performance Input Sheet'!E16,'Scoring Sheet'!$B$4:$B$35,'Scoring Sheet'!$D$4:$D$35)</f>
        <v>1</v>
      </c>
      <c r="E14" s="91">
        <f>LOOKUP('State Performance Input Sheet'!F16,'Scoring Sheet'!$F$4:$F$45,'Scoring Sheet'!$H$4:$H$45)</f>
        <v>0.7</v>
      </c>
      <c r="F14" s="91">
        <f>0.75*LOOKUP('State Performance Input Sheet'!G16,'Scoring Sheet'!$F$4:$F$45,'Scoring Sheet'!$H$4:$H$45)</f>
        <v>0.54749999999999999</v>
      </c>
      <c r="G14" s="91">
        <f>IFERROR(0.75*LOOKUP(ROUND('State Performance Input Sheet'!H16,2),'Scoring Sheet'!B$39:C$46,'Scoring Sheet'!D$39:D$46),0)</f>
        <v>0.75</v>
      </c>
      <c r="H14" s="92">
        <f t="shared" si="0"/>
        <v>3.9975000000000001</v>
      </c>
      <c r="I14" s="93">
        <f>B14*H14*(1.05)^'National Incentive Pool'!$C$1</f>
        <v>5290556242.4324999</v>
      </c>
      <c r="J14" s="94">
        <f t="shared" si="1"/>
        <v>2.8719936554774984E-2</v>
      </c>
      <c r="K14" s="93">
        <f t="shared" si="2"/>
        <v>16513963.518995617</v>
      </c>
      <c r="L14" s="93">
        <v>16513963.518995617</v>
      </c>
      <c r="M14" s="24"/>
      <c r="N14" s="23"/>
    </row>
    <row r="15" spans="1:19">
      <c r="A15" s="71" t="s">
        <v>78</v>
      </c>
      <c r="B15" s="67">
        <f>IF(A15=$A$1,0,'State Collections input sheet'!B17)</f>
        <v>0</v>
      </c>
      <c r="C15" s="91">
        <f>IF('State Performance Input Sheet'!B17="State",LOOKUP('State Performance Input Sheet'!D17,'Scoring Sheet'!$B$4:$B$35,'Scoring Sheet'!$D$4:$D$35),LOOKUP('State Performance Input Sheet'!C17,'Scoring Sheet'!$B$4:$B$35,'Scoring Sheet'!$D$4:$D$35))</f>
        <v>1</v>
      </c>
      <c r="D15" s="91">
        <f>LOOKUP('State Performance Input Sheet'!E17,'Scoring Sheet'!$B$4:$B$35,'Scoring Sheet'!$D$4:$D$35)</f>
        <v>0.88</v>
      </c>
      <c r="E15" s="91">
        <f>LOOKUP('State Performance Input Sheet'!F17,'Scoring Sheet'!$F$4:$F$45,'Scoring Sheet'!$H$4:$H$45)</f>
        <v>0.69</v>
      </c>
      <c r="F15" s="91">
        <f>0.75*LOOKUP('State Performance Input Sheet'!G17,'Scoring Sheet'!$F$4:$F$45,'Scoring Sheet'!$H$4:$H$45)</f>
        <v>0.44999999999999996</v>
      </c>
      <c r="G15" s="91">
        <f>IFERROR(0.75*LOOKUP(ROUND('State Performance Input Sheet'!H17,2),'Scoring Sheet'!B$39:C$46,'Scoring Sheet'!D$39:D$46),0)</f>
        <v>0</v>
      </c>
      <c r="H15" s="92">
        <f t="shared" si="0"/>
        <v>3.0199999999999996</v>
      </c>
      <c r="I15" s="93">
        <f>B15*H15*(1.05)^'National Incentive Pool'!$C$1</f>
        <v>0</v>
      </c>
      <c r="J15" s="94">
        <f t="shared" si="1"/>
        <v>0</v>
      </c>
      <c r="K15" s="93">
        <f t="shared" si="2"/>
        <v>0</v>
      </c>
      <c r="L15" s="93">
        <v>0</v>
      </c>
      <c r="M15" s="24"/>
      <c r="N15" s="23"/>
    </row>
    <row r="16" spans="1:19">
      <c r="A16" s="71" t="s">
        <v>77</v>
      </c>
      <c r="B16" s="67">
        <f>IF(A16=$A$1,0,'State Collections input sheet'!B18)</f>
        <v>150166248</v>
      </c>
      <c r="C16" s="91">
        <f>IF('State Performance Input Sheet'!B18="State",LOOKUP('State Performance Input Sheet'!D18,'Scoring Sheet'!$B$4:$B$35,'Scoring Sheet'!$D$4:$D$35),LOOKUP('State Performance Input Sheet'!C18,'Scoring Sheet'!$B$4:$B$35,'Scoring Sheet'!$D$4:$D$35))</f>
        <v>1</v>
      </c>
      <c r="D16" s="91">
        <f>LOOKUP('State Performance Input Sheet'!E18,'Scoring Sheet'!$B$4:$B$35,'Scoring Sheet'!$D$4:$D$35)</f>
        <v>0.96</v>
      </c>
      <c r="E16" s="91">
        <f>LOOKUP('State Performance Input Sheet'!F18,'Scoring Sheet'!$F$4:$F$45,'Scoring Sheet'!$H$4:$H$45)</f>
        <v>0.72</v>
      </c>
      <c r="F16" s="91">
        <f>0.75*LOOKUP('State Performance Input Sheet'!G18,'Scoring Sheet'!$F$4:$F$45,'Scoring Sheet'!$H$4:$H$45)</f>
        <v>0.39750000000000002</v>
      </c>
      <c r="G16" s="91">
        <f>IFERROR(0.75*LOOKUP(ROUND('State Performance Input Sheet'!H18,2),'Scoring Sheet'!B$39:C$46,'Scoring Sheet'!D$39:D$46),0)</f>
        <v>0.67500000000000004</v>
      </c>
      <c r="H16" s="92">
        <f t="shared" si="0"/>
        <v>3.7524999999999995</v>
      </c>
      <c r="I16" s="93">
        <f>B16*H16*(1.05)^'National Incentive Pool'!$C$1</f>
        <v>563498845.61999989</v>
      </c>
      <c r="J16" s="94">
        <f t="shared" si="1"/>
        <v>3.058969672242705E-3</v>
      </c>
      <c r="K16" s="93">
        <f t="shared" si="2"/>
        <v>1758907.5615395554</v>
      </c>
      <c r="L16" s="93">
        <v>1758907.5615395554</v>
      </c>
      <c r="M16" s="24"/>
      <c r="N16" s="23"/>
    </row>
    <row r="17" spans="1:19">
      <c r="A17" s="71" t="s">
        <v>76</v>
      </c>
      <c r="B17" s="67">
        <f>IF(A17=$A$1,0,'State Collections input sheet'!B19)</f>
        <v>320207029</v>
      </c>
      <c r="C17" s="91">
        <f>IF('State Performance Input Sheet'!B19="State",LOOKUP('State Performance Input Sheet'!D19,'Scoring Sheet'!$B$4:$B$35,'Scoring Sheet'!$D$4:$D$35),LOOKUP('State Performance Input Sheet'!C19,'Scoring Sheet'!$B$4:$B$35,'Scoring Sheet'!$D$4:$D$35))</f>
        <v>1</v>
      </c>
      <c r="D17" s="91">
        <f>LOOKUP('State Performance Input Sheet'!E19,'Scoring Sheet'!$B$4:$B$35,'Scoring Sheet'!$D$4:$D$35)</f>
        <v>1</v>
      </c>
      <c r="E17" s="91">
        <f>LOOKUP('State Performance Input Sheet'!F19,'Scoring Sheet'!$F$4:$F$45,'Scoring Sheet'!$H$4:$H$45)</f>
        <v>0.75</v>
      </c>
      <c r="F17" s="91">
        <f>0.75*LOOKUP('State Performance Input Sheet'!G19,'Scoring Sheet'!$F$4:$F$45,'Scoring Sheet'!$H$4:$H$45)</f>
        <v>0.52499999999999991</v>
      </c>
      <c r="G17" s="91">
        <f>IFERROR(0.75*LOOKUP(ROUND('State Performance Input Sheet'!H19,2),'Scoring Sheet'!B$39:C$46,'Scoring Sheet'!D$39:D$46),0)</f>
        <v>0.75</v>
      </c>
      <c r="H17" s="92">
        <f t="shared" si="0"/>
        <v>4.0250000000000004</v>
      </c>
      <c r="I17" s="93">
        <f>B17*H17*(1.05)^'National Incentive Pool'!$C$1</f>
        <v>1288833291.7250001</v>
      </c>
      <c r="J17" s="94">
        <f t="shared" si="1"/>
        <v>6.9964685511035973E-3</v>
      </c>
      <c r="K17" s="93">
        <f t="shared" si="2"/>
        <v>4022969.4168845685</v>
      </c>
      <c r="L17" s="93">
        <v>4022969.4168845685</v>
      </c>
      <c r="M17" s="24"/>
      <c r="N17" s="23"/>
    </row>
    <row r="18" spans="1:19">
      <c r="A18" s="71" t="s">
        <v>33</v>
      </c>
      <c r="B18" s="67">
        <f>IF(A18=$A$1,0,'State Collections input sheet'!B20)</f>
        <v>1268273020</v>
      </c>
      <c r="C18" s="91">
        <f>IF('State Performance Input Sheet'!B20="State",LOOKUP('State Performance Input Sheet'!D20,'Scoring Sheet'!$B$4:$B$35,'Scoring Sheet'!$D$4:$D$35),LOOKUP('State Performance Input Sheet'!C20,'Scoring Sheet'!$B$4:$B$35,'Scoring Sheet'!$D$4:$D$35))</f>
        <v>1</v>
      </c>
      <c r="D18" s="91">
        <f>LOOKUP('State Performance Input Sheet'!E20,'Scoring Sheet'!$B$4:$B$35,'Scoring Sheet'!$D$4:$D$35)</f>
        <v>1</v>
      </c>
      <c r="E18" s="91">
        <f>LOOKUP('State Performance Input Sheet'!F20,'Scoring Sheet'!$F$4:$F$45,'Scoring Sheet'!$H$4:$H$45)</f>
        <v>0.72</v>
      </c>
      <c r="F18" s="91">
        <f>0.75*LOOKUP('State Performance Input Sheet'!G20,'Scoring Sheet'!$F$4:$F$45,'Scoring Sheet'!$H$4:$H$45)</f>
        <v>0.52499999999999991</v>
      </c>
      <c r="G18" s="91">
        <f>IFERROR(0.75*LOOKUP(ROUND('State Performance Input Sheet'!H20,2),'Scoring Sheet'!B$39:C$46,'Scoring Sheet'!D$39:D$46),0)</f>
        <v>0.75</v>
      </c>
      <c r="H18" s="92">
        <f t="shared" si="0"/>
        <v>3.9949999999999997</v>
      </c>
      <c r="I18" s="93">
        <f>B18*H18*(1.05)^'National Incentive Pool'!$C$1</f>
        <v>5066750714.8999996</v>
      </c>
      <c r="J18" s="94">
        <f t="shared" si="1"/>
        <v>2.750500181884143E-2</v>
      </c>
      <c r="K18" s="93">
        <f t="shared" si="2"/>
        <v>15815376.045833822</v>
      </c>
      <c r="L18" s="93">
        <v>15815376.045833822</v>
      </c>
      <c r="M18" s="24"/>
      <c r="N18" s="23"/>
    </row>
    <row r="19" spans="1:19">
      <c r="A19" s="71" t="s">
        <v>75</v>
      </c>
      <c r="B19" s="67">
        <f>IF(A19=$A$1,0,'State Collections input sheet'!B21)</f>
        <v>980541756</v>
      </c>
      <c r="C19" s="91">
        <f>IF('State Performance Input Sheet'!B21="State",LOOKUP('State Performance Input Sheet'!D21,'Scoring Sheet'!$B$4:$B$35,'Scoring Sheet'!$D$4:$D$35),LOOKUP('State Performance Input Sheet'!C21,'Scoring Sheet'!$B$4:$B$35,'Scoring Sheet'!$D$4:$D$35))</f>
        <v>1</v>
      </c>
      <c r="D19" s="91">
        <f>LOOKUP('State Performance Input Sheet'!E21,'Scoring Sheet'!$B$4:$B$35,'Scoring Sheet'!$D$4:$D$35)</f>
        <v>1</v>
      </c>
      <c r="E19" s="91">
        <f>LOOKUP('State Performance Input Sheet'!F21,'Scoring Sheet'!$F$4:$F$45,'Scoring Sheet'!$H$4:$H$45)</f>
        <v>0.76</v>
      </c>
      <c r="F19" s="91">
        <f>0.75*LOOKUP('State Performance Input Sheet'!G21,'Scoring Sheet'!$F$4:$F$45,'Scoring Sheet'!$H$4:$H$45)</f>
        <v>0.63</v>
      </c>
      <c r="G19" s="91">
        <f>IFERROR(0.75*LOOKUP(ROUND('State Performance Input Sheet'!H21,2),'Scoring Sheet'!B$39:C$46,'Scoring Sheet'!D$39:D$46),0)</f>
        <v>0.75</v>
      </c>
      <c r="H19" s="92">
        <f t="shared" si="0"/>
        <v>4.1399999999999997</v>
      </c>
      <c r="I19" s="93">
        <f>B19*H19*(1.05)^'National Incentive Pool'!$C$1</f>
        <v>4059442869.8399997</v>
      </c>
      <c r="J19" s="94">
        <f t="shared" si="1"/>
        <v>2.2036802242921431E-2</v>
      </c>
      <c r="K19" s="93">
        <f t="shared" si="2"/>
        <v>12671161.289679823</v>
      </c>
      <c r="L19" s="93">
        <v>12671161.289679823</v>
      </c>
      <c r="M19" s="24"/>
      <c r="N19" s="23"/>
      <c r="S19" s="9"/>
    </row>
    <row r="20" spans="1:19">
      <c r="A20" s="71" t="s">
        <v>74</v>
      </c>
      <c r="B20" s="67">
        <f>IF(A20=$A$1,0,'State Collections input sheet'!B22)</f>
        <v>574979988</v>
      </c>
      <c r="C20" s="91">
        <f>IF('State Performance Input Sheet'!B22="State",LOOKUP('State Performance Input Sheet'!D22,'Scoring Sheet'!$B$4:$B$35,'Scoring Sheet'!$D$4:$D$35),LOOKUP('State Performance Input Sheet'!C22,'Scoring Sheet'!$B$4:$B$35,'Scoring Sheet'!$D$4:$D$35))</f>
        <v>1</v>
      </c>
      <c r="D20" s="91">
        <f>LOOKUP('State Performance Input Sheet'!E22,'Scoring Sheet'!$B$4:$B$35,'Scoring Sheet'!$D$4:$D$35)</f>
        <v>1</v>
      </c>
      <c r="E20" s="91">
        <f>LOOKUP('State Performance Input Sheet'!F22,'Scoring Sheet'!$F$4:$F$45,'Scoring Sheet'!$H$4:$H$45)</f>
        <v>0.84</v>
      </c>
      <c r="F20" s="91">
        <f>0.75*LOOKUP('State Performance Input Sheet'!G22,'Scoring Sheet'!$F$4:$F$45,'Scoring Sheet'!$H$4:$H$45)</f>
        <v>0.59250000000000003</v>
      </c>
      <c r="G20" s="91">
        <f>IFERROR(0.75*LOOKUP(ROUND('State Performance Input Sheet'!H22,2),'Scoring Sheet'!B$39:C$46,'Scoring Sheet'!D$39:D$46),0)</f>
        <v>0.75</v>
      </c>
      <c r="H20" s="92">
        <f t="shared" si="0"/>
        <v>4.1825000000000001</v>
      </c>
      <c r="I20" s="93">
        <f>B20*H20*(1.05)^'National Incentive Pool'!$C$1</f>
        <v>2404853799.8099999</v>
      </c>
      <c r="J20" s="94">
        <f t="shared" si="1"/>
        <v>1.305481794146789E-2</v>
      </c>
      <c r="K20" s="93">
        <f t="shared" si="2"/>
        <v>7506520.3163440367</v>
      </c>
      <c r="L20" s="93">
        <v>7506520.3163440367</v>
      </c>
      <c r="M20" s="24"/>
      <c r="N20" s="23"/>
    </row>
    <row r="21" spans="1:19">
      <c r="A21" s="71" t="s">
        <v>73</v>
      </c>
      <c r="B21" s="67">
        <f>IF(A21=$A$1,0,'State Collections input sheet'!B23)</f>
        <v>394629338</v>
      </c>
      <c r="C21" s="91">
        <f>IF('State Performance Input Sheet'!B23="State",LOOKUP('State Performance Input Sheet'!D23,'Scoring Sheet'!$B$4:$B$35,'Scoring Sheet'!$D$4:$D$35),LOOKUP('State Performance Input Sheet'!C23,'Scoring Sheet'!$B$4:$B$35,'Scoring Sheet'!$D$4:$D$35))</f>
        <v>1</v>
      </c>
      <c r="D21" s="91">
        <f>LOOKUP('State Performance Input Sheet'!E23,'Scoring Sheet'!$B$4:$B$35,'Scoring Sheet'!$D$4:$D$35)</f>
        <v>1</v>
      </c>
      <c r="E21" s="91">
        <f>LOOKUP('State Performance Input Sheet'!F23,'Scoring Sheet'!$F$4:$F$45,'Scoring Sheet'!$H$4:$H$45)</f>
        <v>0.66</v>
      </c>
      <c r="F21" s="91">
        <f>0.75*LOOKUP('State Performance Input Sheet'!G23,'Scoring Sheet'!$F$4:$F$45,'Scoring Sheet'!$H$4:$H$45)</f>
        <v>0.50250000000000006</v>
      </c>
      <c r="G21" s="91">
        <f>IFERROR(0.75*LOOKUP(ROUND('State Performance Input Sheet'!H23,2),'Scoring Sheet'!B$39:C$46,'Scoring Sheet'!D$39:D$46),0)</f>
        <v>0.75</v>
      </c>
      <c r="H21" s="92">
        <f t="shared" si="0"/>
        <v>3.9125000000000001</v>
      </c>
      <c r="I21" s="93">
        <f>B21*H21*(1.05)^'National Incentive Pool'!$C$1</f>
        <v>1543987284.925</v>
      </c>
      <c r="J21" s="94">
        <f t="shared" si="1"/>
        <v>8.3815793335252579E-3</v>
      </c>
      <c r="K21" s="93">
        <f t="shared" si="2"/>
        <v>4819408.1167770233</v>
      </c>
      <c r="L21" s="93">
        <v>4819408.1167770233</v>
      </c>
      <c r="M21" s="24"/>
      <c r="N21" s="23"/>
    </row>
    <row r="22" spans="1:19">
      <c r="A22" s="71" t="s">
        <v>72</v>
      </c>
      <c r="B22" s="67">
        <f>IF(A22=$A$1,0,'State Collections input sheet'!B24)</f>
        <v>621314795</v>
      </c>
      <c r="C22" s="91">
        <f>IF('State Performance Input Sheet'!B24="State",LOOKUP('State Performance Input Sheet'!D24,'Scoring Sheet'!$B$4:$B$35,'Scoring Sheet'!$D$4:$D$35),LOOKUP('State Performance Input Sheet'!C24,'Scoring Sheet'!$B$4:$B$35,'Scoring Sheet'!$D$4:$D$35))</f>
        <v>1</v>
      </c>
      <c r="D22" s="91">
        <f>LOOKUP('State Performance Input Sheet'!E24,'Scoring Sheet'!$B$4:$B$35,'Scoring Sheet'!$D$4:$D$35)</f>
        <v>1</v>
      </c>
      <c r="E22" s="91">
        <f>LOOKUP('State Performance Input Sheet'!F24,'Scoring Sheet'!$F$4:$F$45,'Scoring Sheet'!$H$4:$H$45)</f>
        <v>0.67</v>
      </c>
      <c r="F22" s="91">
        <f>0.75*LOOKUP('State Performance Input Sheet'!G24,'Scoring Sheet'!$F$4:$F$45,'Scoring Sheet'!$H$4:$H$45)</f>
        <v>0.52499999999999991</v>
      </c>
      <c r="G22" s="91">
        <f>IFERROR(0.75*LOOKUP(ROUND('State Performance Input Sheet'!H24,2),'Scoring Sheet'!B$39:C$46,'Scoring Sheet'!D$39:D$46),0)</f>
        <v>0.75</v>
      </c>
      <c r="H22" s="92">
        <f t="shared" si="0"/>
        <v>3.9449999999999998</v>
      </c>
      <c r="I22" s="93">
        <f>B22*H22*(1.05)^'National Incentive Pool'!$C$1</f>
        <v>2451086866.2750001</v>
      </c>
      <c r="J22" s="94">
        <f t="shared" si="1"/>
        <v>1.3305795471005881E-2</v>
      </c>
      <c r="K22" s="93">
        <f t="shared" si="2"/>
        <v>7650832.3958283812</v>
      </c>
      <c r="L22" s="93">
        <v>7650832.3958283812</v>
      </c>
      <c r="M22" s="24"/>
      <c r="N22" s="23"/>
    </row>
    <row r="23" spans="1:19">
      <c r="A23" s="71" t="s">
        <v>71</v>
      </c>
      <c r="B23" s="67">
        <f>IF(A23=$A$1,0,'State Collections input sheet'!B25)</f>
        <v>772805451</v>
      </c>
      <c r="C23" s="91">
        <f>IF('State Performance Input Sheet'!B25="State",LOOKUP('State Performance Input Sheet'!D25,'Scoring Sheet'!$B$4:$B$35,'Scoring Sheet'!$D$4:$D$35),LOOKUP('State Performance Input Sheet'!C25,'Scoring Sheet'!$B$4:$B$35,'Scoring Sheet'!$D$4:$D$35))</f>
        <v>1</v>
      </c>
      <c r="D23" s="91">
        <f>LOOKUP('State Performance Input Sheet'!E25,'Scoring Sheet'!$B$4:$B$35,'Scoring Sheet'!$D$4:$D$35)</f>
        <v>1</v>
      </c>
      <c r="E23" s="91">
        <f>LOOKUP('State Performance Input Sheet'!F25,'Scoring Sheet'!$F$4:$F$45,'Scoring Sheet'!$H$4:$H$45)</f>
        <v>0.64</v>
      </c>
      <c r="F23" s="91">
        <f>0.75*LOOKUP('State Performance Input Sheet'!G25,'Scoring Sheet'!$F$4:$F$45,'Scoring Sheet'!$H$4:$H$45)</f>
        <v>0.47250000000000003</v>
      </c>
      <c r="G23" s="91">
        <f>IFERROR(0.75*LOOKUP(ROUND('State Performance Input Sheet'!H25,2),'Scoring Sheet'!B$39:C$46,'Scoring Sheet'!D$39:D$46),0)</f>
        <v>0.75</v>
      </c>
      <c r="H23" s="92">
        <f t="shared" si="0"/>
        <v>3.8625000000000003</v>
      </c>
      <c r="I23" s="93">
        <f>B23*H23*(1.05)^'National Incentive Pool'!$C$1</f>
        <v>2984961054.4875002</v>
      </c>
      <c r="J23" s="94">
        <f t="shared" si="1"/>
        <v>1.6203946839423288E-2</v>
      </c>
      <c r="K23" s="93">
        <f t="shared" si="2"/>
        <v>9317269.4326683916</v>
      </c>
      <c r="L23" s="93">
        <v>9317269.4326683916</v>
      </c>
      <c r="M23" s="24"/>
      <c r="N23" s="23"/>
    </row>
    <row r="24" spans="1:19">
      <c r="A24" s="71" t="s">
        <v>70</v>
      </c>
      <c r="B24" s="67">
        <f>IF(A24=$A$1,0,'State Collections input sheet'!B26)</f>
        <v>174627697</v>
      </c>
      <c r="C24" s="91">
        <f>IF('State Performance Input Sheet'!B26="State",LOOKUP('State Performance Input Sheet'!D26,'Scoring Sheet'!$B$4:$B$35,'Scoring Sheet'!$D$4:$D$35),LOOKUP('State Performance Input Sheet'!C26,'Scoring Sheet'!$B$4:$B$35,'Scoring Sheet'!$D$4:$D$35))</f>
        <v>1</v>
      </c>
      <c r="D24" s="91">
        <f>LOOKUP('State Performance Input Sheet'!E26,'Scoring Sheet'!$B$4:$B$35,'Scoring Sheet'!$D$4:$D$35)</f>
        <v>1</v>
      </c>
      <c r="E24" s="91">
        <f>LOOKUP('State Performance Input Sheet'!F26,'Scoring Sheet'!$F$4:$F$45,'Scoring Sheet'!$H$4:$H$45)</f>
        <v>0.74</v>
      </c>
      <c r="F24" s="91">
        <f>0.75*LOOKUP('State Performance Input Sheet'!G26,'Scoring Sheet'!$F$4:$F$45,'Scoring Sheet'!$H$4:$H$45)</f>
        <v>0.57000000000000006</v>
      </c>
      <c r="G24" s="91">
        <f>IFERROR(0.75*LOOKUP(ROUND('State Performance Input Sheet'!H26,2),'Scoring Sheet'!B$39:C$46,'Scoring Sheet'!D$39:D$46),0)</f>
        <v>0.52499999999999991</v>
      </c>
      <c r="H24" s="92">
        <f t="shared" si="0"/>
        <v>3.8350000000000004</v>
      </c>
      <c r="I24" s="93">
        <f>B24*H24*(1.05)^'National Incentive Pool'!$C$1</f>
        <v>669697217.99500012</v>
      </c>
      <c r="J24" s="94">
        <f t="shared" si="1"/>
        <v>3.635470587660256E-3</v>
      </c>
      <c r="K24" s="93">
        <f t="shared" si="2"/>
        <v>2090395.5879046472</v>
      </c>
      <c r="L24" s="93">
        <v>2090395.5879046472</v>
      </c>
      <c r="M24" s="24"/>
      <c r="N24" s="23"/>
    </row>
    <row r="25" spans="1:19">
      <c r="A25" s="71" t="s">
        <v>69</v>
      </c>
      <c r="B25" s="67">
        <f>IF(A25=$A$1,0,'State Collections input sheet'!B27)</f>
        <v>921821406</v>
      </c>
      <c r="C25" s="91">
        <f>IF('State Performance Input Sheet'!B27="State",LOOKUP('State Performance Input Sheet'!D27,'Scoring Sheet'!$B$4:$B$35,'Scoring Sheet'!$D$4:$D$35),LOOKUP('State Performance Input Sheet'!C27,'Scoring Sheet'!$B$4:$B$35,'Scoring Sheet'!$D$4:$D$35))</f>
        <v>1</v>
      </c>
      <c r="D25" s="91">
        <f>LOOKUP('State Performance Input Sheet'!E27,'Scoring Sheet'!$B$4:$B$35,'Scoring Sheet'!$D$4:$D$35)</f>
        <v>1</v>
      </c>
      <c r="E25" s="91">
        <f>LOOKUP('State Performance Input Sheet'!F27,'Scoring Sheet'!$F$4:$F$45,'Scoring Sheet'!$H$4:$H$45)</f>
        <v>0.78</v>
      </c>
      <c r="F25" s="91">
        <f>0.75*LOOKUP('State Performance Input Sheet'!G27,'Scoring Sheet'!$F$4:$F$45,'Scoring Sheet'!$H$4:$H$45)</f>
        <v>0.60000000000000009</v>
      </c>
      <c r="G25" s="91">
        <f>IFERROR(0.75*LOOKUP(ROUND('State Performance Input Sheet'!H27,2),'Scoring Sheet'!B$39:C$46,'Scoring Sheet'!D$39:D$46),0)</f>
        <v>0.60000000000000009</v>
      </c>
      <c r="H25" s="92">
        <f t="shared" si="0"/>
        <v>3.9800000000000004</v>
      </c>
      <c r="I25" s="93">
        <f>B25*H25*(1.05)^'National Incentive Pool'!$C$1</f>
        <v>3668849195.8800006</v>
      </c>
      <c r="J25" s="94">
        <f t="shared" si="1"/>
        <v>1.9916453262438821E-2</v>
      </c>
      <c r="K25" s="93">
        <f t="shared" si="2"/>
        <v>11451960.625902323</v>
      </c>
      <c r="L25" s="93">
        <v>11451960.625902323</v>
      </c>
      <c r="M25" s="24"/>
      <c r="N25" s="23"/>
    </row>
    <row r="26" spans="1:19">
      <c r="A26" s="71" t="s">
        <v>68</v>
      </c>
      <c r="B26" s="67">
        <f>IF(A26=$A$1,0,'State Collections input sheet'!B28)</f>
        <v>848568551</v>
      </c>
      <c r="C26" s="91">
        <f>IF('State Performance Input Sheet'!B28="State",LOOKUP('State Performance Input Sheet'!D28,'Scoring Sheet'!$B$4:$B$35,'Scoring Sheet'!$D$4:$D$35),LOOKUP('State Performance Input Sheet'!C28,'Scoring Sheet'!$B$4:$B$35,'Scoring Sheet'!$D$4:$D$35))</f>
        <v>1</v>
      </c>
      <c r="D26" s="91">
        <f>LOOKUP('State Performance Input Sheet'!E28,'Scoring Sheet'!$B$4:$B$35,'Scoring Sheet'!$D$4:$D$35)</f>
        <v>1</v>
      </c>
      <c r="E26" s="91">
        <f>LOOKUP('State Performance Input Sheet'!F28,'Scoring Sheet'!$F$4:$F$45,'Scoring Sheet'!$H$4:$H$45)</f>
        <v>0.8</v>
      </c>
      <c r="F26" s="91">
        <f>0.75*LOOKUP('State Performance Input Sheet'!G28,'Scoring Sheet'!$F$4:$F$45,'Scoring Sheet'!$H$4:$H$45)</f>
        <v>0.51749999999999996</v>
      </c>
      <c r="G26" s="91">
        <f>IFERROR(0.75*LOOKUP(ROUND('State Performance Input Sheet'!H28,2),'Scoring Sheet'!B$39:C$46,'Scoring Sheet'!D$39:D$46),0)</f>
        <v>0.75</v>
      </c>
      <c r="H26" s="92">
        <f t="shared" si="0"/>
        <v>4.0674999999999999</v>
      </c>
      <c r="I26" s="93">
        <f>B26*H26*(1.05)^'National Incentive Pool'!$C$1</f>
        <v>3451552581.1925001</v>
      </c>
      <c r="J26" s="94">
        <f t="shared" si="1"/>
        <v>1.8736852346879322E-2</v>
      </c>
      <c r="K26" s="93">
        <f t="shared" si="2"/>
        <v>10773690.09945561</v>
      </c>
      <c r="L26" s="93">
        <v>10773690.09945561</v>
      </c>
      <c r="M26" s="24"/>
      <c r="N26" s="23"/>
    </row>
    <row r="27" spans="1:19">
      <c r="A27" s="71" t="s">
        <v>67</v>
      </c>
      <c r="B27" s="67">
        <f>IF(A27=$A$1,0,'State Collections input sheet'!B29)</f>
        <v>2206192747</v>
      </c>
      <c r="C27" s="91">
        <f>IF('State Performance Input Sheet'!B29="State",LOOKUP('State Performance Input Sheet'!D29,'Scoring Sheet'!$B$4:$B$35,'Scoring Sheet'!$D$4:$D$35),LOOKUP('State Performance Input Sheet'!C29,'Scoring Sheet'!$B$4:$B$35,'Scoring Sheet'!$D$4:$D$35))</f>
        <v>1</v>
      </c>
      <c r="D27" s="91">
        <f>LOOKUP('State Performance Input Sheet'!E29,'Scoring Sheet'!$B$4:$B$35,'Scoring Sheet'!$D$4:$D$35)</f>
        <v>1</v>
      </c>
      <c r="E27" s="91">
        <f>LOOKUP('State Performance Input Sheet'!F29,'Scoring Sheet'!$F$4:$F$45,'Scoring Sheet'!$H$4:$H$45)</f>
        <v>0.82</v>
      </c>
      <c r="F27" s="91">
        <f>0.75*LOOKUP('State Performance Input Sheet'!G29,'Scoring Sheet'!$F$4:$F$45,'Scoring Sheet'!$H$4:$H$45)</f>
        <v>0.5625</v>
      </c>
      <c r="G27" s="91">
        <f>IFERROR(0.75*LOOKUP(ROUND('State Performance Input Sheet'!H29,2),'Scoring Sheet'!B$39:C$46,'Scoring Sheet'!D$39:D$46),0)</f>
        <v>0.75</v>
      </c>
      <c r="H27" s="92">
        <f t="shared" si="0"/>
        <v>4.1325000000000003</v>
      </c>
      <c r="I27" s="93">
        <f>B27*H27*(1.05)^'National Incentive Pool'!$C$1</f>
        <v>9117091526.9775009</v>
      </c>
      <c r="J27" s="94">
        <f t="shared" si="1"/>
        <v>4.9492393279705532E-2</v>
      </c>
      <c r="K27" s="93">
        <f t="shared" si="2"/>
        <v>28458126.135830682</v>
      </c>
      <c r="L27" s="93">
        <v>28458126.135830682</v>
      </c>
      <c r="M27" s="24"/>
      <c r="N27" s="23"/>
    </row>
    <row r="28" spans="1:19">
      <c r="A28" s="71" t="s">
        <v>66</v>
      </c>
      <c r="B28" s="67">
        <f>IF(A28=$A$1,0,'State Collections input sheet'!B30)</f>
        <v>981447097</v>
      </c>
      <c r="C28" s="91">
        <f>IF('State Performance Input Sheet'!B30="State",LOOKUP('State Performance Input Sheet'!D30,'Scoring Sheet'!$B$4:$B$35,'Scoring Sheet'!$D$4:$D$35),LOOKUP('State Performance Input Sheet'!C30,'Scoring Sheet'!$B$4:$B$35,'Scoring Sheet'!$D$4:$D$35))</f>
        <v>1</v>
      </c>
      <c r="D28" s="91">
        <f>LOOKUP('State Performance Input Sheet'!E30,'Scoring Sheet'!$B$4:$B$35,'Scoring Sheet'!$D$4:$D$35)</f>
        <v>1</v>
      </c>
      <c r="E28" s="91">
        <f>LOOKUP('State Performance Input Sheet'!F30,'Scoring Sheet'!$F$4:$F$45,'Scoring Sheet'!$H$4:$H$45)</f>
        <v>0.88</v>
      </c>
      <c r="F28" s="91">
        <f>0.75*LOOKUP('State Performance Input Sheet'!G30,'Scoring Sheet'!$F$4:$F$45,'Scoring Sheet'!$H$4:$H$45)</f>
        <v>0.63</v>
      </c>
      <c r="G28" s="91">
        <f>IFERROR(0.75*LOOKUP(ROUND('State Performance Input Sheet'!H30,2),'Scoring Sheet'!B$39:C$46,'Scoring Sheet'!D$39:D$46),0)</f>
        <v>0.44999999999999996</v>
      </c>
      <c r="H28" s="92">
        <f t="shared" si="0"/>
        <v>3.96</v>
      </c>
      <c r="I28" s="93">
        <f>B28*H28*(1.05)^'National Incentive Pool'!$C$1</f>
        <v>3886530504.1199999</v>
      </c>
      <c r="J28" s="94">
        <f t="shared" si="1"/>
        <v>2.1098142497999947E-2</v>
      </c>
      <c r="K28" s="93">
        <f t="shared" si="2"/>
        <v>12131431.936349969</v>
      </c>
      <c r="L28" s="93">
        <v>12131431.936349969</v>
      </c>
      <c r="M28" s="24"/>
      <c r="N28" s="23"/>
    </row>
    <row r="29" spans="1:19">
      <c r="A29" s="71" t="s">
        <v>65</v>
      </c>
      <c r="B29" s="67">
        <f>IF(A29=$A$1,0,'State Collections input sheet'!B31)</f>
        <v>492944871</v>
      </c>
      <c r="C29" s="91">
        <f>IF('State Performance Input Sheet'!B31="State",LOOKUP('State Performance Input Sheet'!D31,'Scoring Sheet'!$B$4:$B$35,'Scoring Sheet'!$D$4:$D$35),LOOKUP('State Performance Input Sheet'!C31,'Scoring Sheet'!$B$4:$B$35,'Scoring Sheet'!$D$4:$D$35))</f>
        <v>1</v>
      </c>
      <c r="D29" s="91">
        <f>LOOKUP('State Performance Input Sheet'!E31,'Scoring Sheet'!$B$4:$B$35,'Scoring Sheet'!$D$4:$D$35)</f>
        <v>1</v>
      </c>
      <c r="E29" s="91">
        <f>LOOKUP('State Performance Input Sheet'!F31,'Scoring Sheet'!$F$4:$F$45,'Scoring Sheet'!$H$4:$H$45)</f>
        <v>0.64</v>
      </c>
      <c r="F29" s="91">
        <f>0.75*LOOKUP('State Performance Input Sheet'!G31,'Scoring Sheet'!$F$4:$F$45,'Scoring Sheet'!$H$4:$H$45)</f>
        <v>0.51</v>
      </c>
      <c r="G29" s="91">
        <f>IFERROR(0.75*LOOKUP(ROUND('State Performance Input Sheet'!H31,2),'Scoring Sheet'!B$39:C$46,'Scoring Sheet'!D$39:D$46),0)</f>
        <v>0.75</v>
      </c>
      <c r="H29" s="92">
        <f t="shared" si="0"/>
        <v>3.9000000000000004</v>
      </c>
      <c r="I29" s="93">
        <f>B29*H29*(1.05)^'National Incentive Pool'!$C$1</f>
        <v>1922484996.9000001</v>
      </c>
      <c r="J29" s="94">
        <f t="shared" si="1"/>
        <v>1.043626503686663E-2</v>
      </c>
      <c r="K29" s="93">
        <f t="shared" si="2"/>
        <v>6000852.3961983118</v>
      </c>
      <c r="L29" s="93">
        <v>6000852.3961983118</v>
      </c>
      <c r="M29" s="24"/>
      <c r="N29" s="23"/>
      <c r="S29" s="9"/>
    </row>
    <row r="30" spans="1:19">
      <c r="A30" s="71" t="s">
        <v>64</v>
      </c>
      <c r="B30" s="67">
        <f>IF(A30=$A$1,0,'State Collections input sheet'!B32)</f>
        <v>1000915603</v>
      </c>
      <c r="C30" s="91">
        <f>IF('State Performance Input Sheet'!B32="State",LOOKUP('State Performance Input Sheet'!D32,'Scoring Sheet'!$B$4:$B$35,'Scoring Sheet'!$D$4:$D$35),LOOKUP('State Performance Input Sheet'!C32,'Scoring Sheet'!$B$4:$B$35,'Scoring Sheet'!$D$4:$D$35))</f>
        <v>1</v>
      </c>
      <c r="D30" s="91">
        <f>LOOKUP('State Performance Input Sheet'!E32,'Scoring Sheet'!$B$4:$B$35,'Scoring Sheet'!$D$4:$D$35)</f>
        <v>1</v>
      </c>
      <c r="E30" s="91">
        <f>LOOKUP('State Performance Input Sheet'!F32,'Scoring Sheet'!$F$4:$F$45,'Scoring Sheet'!$H$4:$H$45)</f>
        <v>0.7</v>
      </c>
      <c r="F30" s="91">
        <f>0.75*LOOKUP('State Performance Input Sheet'!G32,'Scoring Sheet'!$F$4:$F$45,'Scoring Sheet'!$H$4:$H$45)</f>
        <v>0.52499999999999991</v>
      </c>
      <c r="G30" s="91">
        <f>IFERROR(0.75*LOOKUP(ROUND('State Performance Input Sheet'!H32,2),'Scoring Sheet'!B$39:C$46,'Scoring Sheet'!D$39:D$46),0)</f>
        <v>0.75</v>
      </c>
      <c r="H30" s="92">
        <f t="shared" si="0"/>
        <v>3.9750000000000001</v>
      </c>
      <c r="I30" s="93">
        <f>B30*H30*(1.05)^'National Incentive Pool'!$C$1</f>
        <v>3978639521.9250002</v>
      </c>
      <c r="J30" s="94">
        <f t="shared" si="1"/>
        <v>2.159815894736028E-2</v>
      </c>
      <c r="K30" s="93">
        <f t="shared" si="2"/>
        <v>12418941.39473216</v>
      </c>
      <c r="L30" s="93">
        <v>12418941.39473216</v>
      </c>
      <c r="M30" s="24"/>
      <c r="N30" s="23"/>
    </row>
    <row r="31" spans="1:19">
      <c r="A31" s="71" t="s">
        <v>63</v>
      </c>
      <c r="B31" s="67">
        <f>IF(A31=$A$1,0,'State Collections input sheet'!B33)</f>
        <v>101282938</v>
      </c>
      <c r="C31" s="91">
        <f>IF('State Performance Input Sheet'!B33="State",LOOKUP('State Performance Input Sheet'!D33,'Scoring Sheet'!$B$4:$B$35,'Scoring Sheet'!$D$4:$D$35),LOOKUP('State Performance Input Sheet'!C33,'Scoring Sheet'!$B$4:$B$35,'Scoring Sheet'!$D$4:$D$35))</f>
        <v>1</v>
      </c>
      <c r="D31" s="91">
        <f>LOOKUP('State Performance Input Sheet'!E33,'Scoring Sheet'!$B$4:$B$35,'Scoring Sheet'!$D$4:$D$35)</f>
        <v>1</v>
      </c>
      <c r="E31" s="91">
        <f>LOOKUP('State Performance Input Sheet'!F33,'Scoring Sheet'!$F$4:$F$45,'Scoring Sheet'!$H$4:$H$45)</f>
        <v>0.74</v>
      </c>
      <c r="F31" s="91">
        <f>0.75*LOOKUP('State Performance Input Sheet'!G33,'Scoring Sheet'!$F$4:$F$45,'Scoring Sheet'!$H$4:$H$45)</f>
        <v>0.5625</v>
      </c>
      <c r="G31" s="91">
        <f>IFERROR(0.75*LOOKUP(ROUND('State Performance Input Sheet'!H33,2),'Scoring Sheet'!B$39:C$46,'Scoring Sheet'!D$39:D$46),0)</f>
        <v>0.67500000000000004</v>
      </c>
      <c r="H31" s="92">
        <f t="shared" si="0"/>
        <v>3.9775</v>
      </c>
      <c r="I31" s="93">
        <f>B31*H31*(1.05)^'National Incentive Pool'!$C$1</f>
        <v>402852885.89499998</v>
      </c>
      <c r="J31" s="94">
        <f t="shared" si="1"/>
        <v>2.1868984646674461E-3</v>
      </c>
      <c r="K31" s="93">
        <f t="shared" si="2"/>
        <v>1257466.6171837815</v>
      </c>
      <c r="L31" s="93">
        <v>1257466.6171837815</v>
      </c>
      <c r="M31" s="24"/>
      <c r="N31" s="23"/>
    </row>
    <row r="32" spans="1:19">
      <c r="A32" s="71" t="s">
        <v>62</v>
      </c>
      <c r="B32" s="67">
        <f>IF(A32=$A$1,0,'State Collections input sheet'!B34)</f>
        <v>392980523</v>
      </c>
      <c r="C32" s="91">
        <f>IF('State Performance Input Sheet'!B34="State",LOOKUP('State Performance Input Sheet'!D34,'Scoring Sheet'!$B$4:$B$35,'Scoring Sheet'!$D$4:$D$35),LOOKUP('State Performance Input Sheet'!C34,'Scoring Sheet'!$B$4:$B$35,'Scoring Sheet'!$D$4:$D$35))</f>
        <v>1</v>
      </c>
      <c r="D32" s="91">
        <f>LOOKUP('State Performance Input Sheet'!E34,'Scoring Sheet'!$B$4:$B$35,'Scoring Sheet'!$D$4:$D$35)</f>
        <v>1</v>
      </c>
      <c r="E32" s="91">
        <f>LOOKUP('State Performance Input Sheet'!F34,'Scoring Sheet'!$F$4:$F$45,'Scoring Sheet'!$H$4:$H$45)</f>
        <v>0.8</v>
      </c>
      <c r="F32" s="91">
        <f>0.75*LOOKUP('State Performance Input Sheet'!G34,'Scoring Sheet'!$F$4:$F$45,'Scoring Sheet'!$H$4:$H$45)</f>
        <v>0.58499999999999996</v>
      </c>
      <c r="G32" s="91">
        <f>IFERROR(0.75*LOOKUP(ROUND('State Performance Input Sheet'!H34,2),'Scoring Sheet'!B$39:C$46,'Scoring Sheet'!D$39:D$46),0)</f>
        <v>0.75</v>
      </c>
      <c r="H32" s="92">
        <f t="shared" si="0"/>
        <v>4.1349999999999998</v>
      </c>
      <c r="I32" s="93">
        <f>B32*H32*(1.05)^'National Incentive Pool'!$C$1</f>
        <v>1624974462.605</v>
      </c>
      <c r="J32" s="94">
        <f t="shared" si="1"/>
        <v>8.8212205542469689E-3</v>
      </c>
      <c r="K32" s="93">
        <f t="shared" si="2"/>
        <v>5072201.8186920071</v>
      </c>
      <c r="L32" s="93">
        <v>5072201.8186920071</v>
      </c>
      <c r="M32" s="24"/>
      <c r="N32" s="23"/>
    </row>
    <row r="33" spans="1:19">
      <c r="A33" s="71" t="s">
        <v>61</v>
      </c>
      <c r="B33" s="67">
        <f>IF(A33=$A$1,0,'State Collections input sheet'!B35)</f>
        <v>322086268</v>
      </c>
      <c r="C33" s="91">
        <f>IF('State Performance Input Sheet'!B35="State",LOOKUP('State Performance Input Sheet'!D35,'Scoring Sheet'!$B$4:$B$35,'Scoring Sheet'!$D$4:$D$35),LOOKUP('State Performance Input Sheet'!C35,'Scoring Sheet'!$B$4:$B$35,'Scoring Sheet'!$D$4:$D$35))</f>
        <v>1</v>
      </c>
      <c r="D33" s="91">
        <f>LOOKUP('State Performance Input Sheet'!E35,'Scoring Sheet'!$B$4:$B$35,'Scoring Sheet'!$D$4:$D$35)</f>
        <v>1</v>
      </c>
      <c r="E33" s="91">
        <f>LOOKUP('State Performance Input Sheet'!F35,'Scoring Sheet'!$F$4:$F$45,'Scoring Sheet'!$H$4:$H$45)</f>
        <v>0.77</v>
      </c>
      <c r="F33" s="91">
        <f>0.75*LOOKUP('State Performance Input Sheet'!G35,'Scoring Sheet'!$F$4:$F$45,'Scoring Sheet'!$H$4:$H$45)</f>
        <v>0.57750000000000001</v>
      </c>
      <c r="G33" s="91">
        <f>IFERROR(0.75*LOOKUP(ROUND('State Performance Input Sheet'!H35,2),'Scoring Sheet'!B$39:C$46,'Scoring Sheet'!D$39:D$46),0)</f>
        <v>0.52499999999999991</v>
      </c>
      <c r="H33" s="92">
        <f t="shared" si="0"/>
        <v>3.8725000000000001</v>
      </c>
      <c r="I33" s="93">
        <f>B33*H33*(1.05)^'National Incentive Pool'!$C$1</f>
        <v>1247279072.8299999</v>
      </c>
      <c r="J33" s="94">
        <f t="shared" si="1"/>
        <v>6.7708902800182645E-3</v>
      </c>
      <c r="K33" s="93">
        <f t="shared" si="2"/>
        <v>3893261.9110105019</v>
      </c>
      <c r="L33" s="93">
        <v>3893261.9110105019</v>
      </c>
      <c r="M33" s="24"/>
      <c r="N33" s="23"/>
    </row>
    <row r="34" spans="1:19">
      <c r="A34" s="71" t="s">
        <v>60</v>
      </c>
      <c r="B34" s="67">
        <f>IF(A34=$A$1,0,'State Collections input sheet'!B36)</f>
        <v>135511567</v>
      </c>
      <c r="C34" s="91">
        <f>IF('State Performance Input Sheet'!B36="State",LOOKUP('State Performance Input Sheet'!D36,'Scoring Sheet'!$B$4:$B$35,'Scoring Sheet'!$D$4:$D$35),LOOKUP('State Performance Input Sheet'!C36,'Scoring Sheet'!$B$4:$B$35,'Scoring Sheet'!$D$4:$D$35))</f>
        <v>1</v>
      </c>
      <c r="D34" s="91">
        <f>LOOKUP('State Performance Input Sheet'!E36,'Scoring Sheet'!$B$4:$B$35,'Scoring Sheet'!$D$4:$D$35)</f>
        <v>1</v>
      </c>
      <c r="E34" s="91">
        <f>LOOKUP('State Performance Input Sheet'!F36,'Scoring Sheet'!$F$4:$F$45,'Scoring Sheet'!$H$4:$H$45)</f>
        <v>0.74</v>
      </c>
      <c r="F34" s="91">
        <f>0.75*LOOKUP('State Performance Input Sheet'!G36,'Scoring Sheet'!$F$4:$F$45,'Scoring Sheet'!$H$4:$H$45)</f>
        <v>0.57000000000000006</v>
      </c>
      <c r="G34" s="91">
        <f>IFERROR(0.75*LOOKUP(ROUND('State Performance Input Sheet'!H36,2),'Scoring Sheet'!B$39:C$46,'Scoring Sheet'!D$39:D$46),0)</f>
        <v>0.44999999999999996</v>
      </c>
      <c r="H34" s="92">
        <f t="shared" si="0"/>
        <v>3.7600000000000007</v>
      </c>
      <c r="I34" s="93">
        <f>B34*H34*(1.05)^'National Incentive Pool'!$C$1</f>
        <v>509523491.92000008</v>
      </c>
      <c r="J34" s="94">
        <f t="shared" si="1"/>
        <v>2.7659629140208523E-3</v>
      </c>
      <c r="K34" s="93">
        <f t="shared" si="2"/>
        <v>1590428.6755619901</v>
      </c>
      <c r="L34" s="93">
        <v>1590428.6755619901</v>
      </c>
      <c r="M34" s="24"/>
      <c r="N34" s="23"/>
    </row>
    <row r="35" spans="1:19">
      <c r="A35" s="71" t="s">
        <v>59</v>
      </c>
      <c r="B35" s="67">
        <f>IF(A35=$A$1,0,'State Collections input sheet'!B37)</f>
        <v>1372079761</v>
      </c>
      <c r="C35" s="91">
        <f>IF('State Performance Input Sheet'!B37="State",LOOKUP('State Performance Input Sheet'!D37,'Scoring Sheet'!$B$4:$B$35,'Scoring Sheet'!$D$4:$D$35),LOOKUP('State Performance Input Sheet'!C37,'Scoring Sheet'!$B$4:$B$35,'Scoring Sheet'!$D$4:$D$35))</f>
        <v>1</v>
      </c>
      <c r="D35" s="91">
        <f>LOOKUP('State Performance Input Sheet'!E37,'Scoring Sheet'!$B$4:$B$35,'Scoring Sheet'!$D$4:$D$35)</f>
        <v>1</v>
      </c>
      <c r="E35" s="91">
        <f>LOOKUP('State Performance Input Sheet'!F37,'Scoring Sheet'!$F$4:$F$45,'Scoring Sheet'!$H$4:$H$45)</f>
        <v>0.78</v>
      </c>
      <c r="F35" s="91">
        <f>0.75*LOOKUP('State Performance Input Sheet'!G37,'Scoring Sheet'!$F$4:$F$45,'Scoring Sheet'!$H$4:$H$45)</f>
        <v>0.57750000000000001</v>
      </c>
      <c r="G35" s="91">
        <f>IFERROR(0.75*LOOKUP(ROUND('State Performance Input Sheet'!H37,2),'Scoring Sheet'!B$39:C$46,'Scoring Sheet'!D$39:D$46),0)</f>
        <v>0.67500000000000004</v>
      </c>
      <c r="H35" s="92">
        <f t="shared" si="0"/>
        <v>4.0325000000000006</v>
      </c>
      <c r="I35" s="93">
        <f>B35*H35*(1.05)^'National Incentive Pool'!$C$1</f>
        <v>5532911636.232501</v>
      </c>
      <c r="J35" s="94">
        <f t="shared" si="1"/>
        <v>3.0035569772661971E-2</v>
      </c>
      <c r="K35" s="93">
        <f t="shared" si="2"/>
        <v>17270452.619280633</v>
      </c>
      <c r="L35" s="93">
        <v>17270452.619280633</v>
      </c>
      <c r="M35" s="24"/>
      <c r="N35" s="23"/>
    </row>
    <row r="36" spans="1:19">
      <c r="A36" s="71" t="s">
        <v>58</v>
      </c>
      <c r="B36" s="67">
        <f>IF(A36=$A$1,0,'State Collections input sheet'!B38)</f>
        <v>211029734</v>
      </c>
      <c r="C36" s="91">
        <f>IF('State Performance Input Sheet'!B38="State",LOOKUP('State Performance Input Sheet'!D38,'Scoring Sheet'!$B$4:$B$35,'Scoring Sheet'!$D$4:$D$35),LOOKUP('State Performance Input Sheet'!C38,'Scoring Sheet'!$B$4:$B$35,'Scoring Sheet'!$D$4:$D$35))</f>
        <v>1</v>
      </c>
      <c r="D36" s="91">
        <f>LOOKUP('State Performance Input Sheet'!E38,'Scoring Sheet'!$B$4:$B$35,'Scoring Sheet'!$D$4:$D$35)</f>
        <v>0.94</v>
      </c>
      <c r="E36" s="91">
        <f>LOOKUP('State Performance Input Sheet'!F38,'Scoring Sheet'!$F$4:$F$45,'Scoring Sheet'!$H$4:$H$45)</f>
        <v>0.65</v>
      </c>
      <c r="F36" s="91">
        <f>0.75*LOOKUP('State Performance Input Sheet'!G38,'Scoring Sheet'!$F$4:$F$45,'Scoring Sheet'!$H$4:$H$45)</f>
        <v>0.55499999999999994</v>
      </c>
      <c r="G36" s="91">
        <f>IFERROR(0.75*LOOKUP(ROUND('State Performance Input Sheet'!H38,2),'Scoring Sheet'!B$39:C$46,'Scoring Sheet'!D$39:D$46),0)</f>
        <v>0.52499999999999991</v>
      </c>
      <c r="H36" s="92">
        <f t="shared" ref="H36:H67" si="3">IFERROR(SUM(C36:G36),0)</f>
        <v>3.6699999999999995</v>
      </c>
      <c r="I36" s="93">
        <f>B36*H36*(1.05)^'National Incentive Pool'!$C$1</f>
        <v>774479123.77999985</v>
      </c>
      <c r="J36" s="94">
        <f t="shared" ref="J36:J67" si="4">I36/$I$59</f>
        <v>4.20428217350023E-3</v>
      </c>
      <c r="K36" s="93">
        <f t="shared" ref="K36:K67" si="5">J36*$K$63</f>
        <v>2417462.2497626324</v>
      </c>
      <c r="L36" s="93">
        <v>2417462.2497626324</v>
      </c>
      <c r="M36" s="24"/>
      <c r="N36" s="23"/>
    </row>
    <row r="37" spans="1:19">
      <c r="A37" s="71" t="s">
        <v>57</v>
      </c>
      <c r="B37" s="67">
        <f>IF(A37=$A$1,0,'State Collections input sheet'!B39)</f>
        <v>2844016913</v>
      </c>
      <c r="C37" s="91">
        <f>IF('State Performance Input Sheet'!B39="State",LOOKUP('State Performance Input Sheet'!D39,'Scoring Sheet'!$B$4:$B$35,'Scoring Sheet'!$D$4:$D$35),LOOKUP('State Performance Input Sheet'!C39,'Scoring Sheet'!$B$4:$B$35,'Scoring Sheet'!$D$4:$D$35))</f>
        <v>1</v>
      </c>
      <c r="D37" s="91">
        <f>LOOKUP('State Performance Input Sheet'!E39,'Scoring Sheet'!$B$4:$B$35,'Scoring Sheet'!$D$4:$D$35)</f>
        <v>1</v>
      </c>
      <c r="E37" s="91">
        <f>LOOKUP('State Performance Input Sheet'!F39,'Scoring Sheet'!$F$4:$F$45,'Scoring Sheet'!$H$4:$H$45)</f>
        <v>0.76</v>
      </c>
      <c r="F37" s="91">
        <f>0.75*LOOKUP('State Performance Input Sheet'!G39,'Scoring Sheet'!$F$4:$F$45,'Scoring Sheet'!$H$4:$H$45)</f>
        <v>0.50250000000000006</v>
      </c>
      <c r="G37" s="91">
        <f>IFERROR(0.75*LOOKUP(ROUND('State Performance Input Sheet'!H39,2),'Scoring Sheet'!B$39:C$46,'Scoring Sheet'!D$39:D$46),0)</f>
        <v>0.67500000000000004</v>
      </c>
      <c r="H37" s="92">
        <f t="shared" si="3"/>
        <v>3.9375</v>
      </c>
      <c r="I37" s="93">
        <f>B37*H37*(1.05)^'National Incentive Pool'!$C$1</f>
        <v>11198316594.9375</v>
      </c>
      <c r="J37" s="94">
        <f t="shared" si="4"/>
        <v>6.0790383352775069E-2</v>
      </c>
      <c r="K37" s="93">
        <f t="shared" si="5"/>
        <v>34954470.427845664</v>
      </c>
      <c r="L37" s="93">
        <v>34954470.427845664</v>
      </c>
      <c r="M37" s="24"/>
      <c r="N37" s="23"/>
    </row>
    <row r="38" spans="1:19">
      <c r="A38" s="71" t="s">
        <v>56</v>
      </c>
      <c r="B38" s="67">
        <f>IF(A38=$A$1,0,'State Collections input sheet'!B40)</f>
        <v>1217087714</v>
      </c>
      <c r="C38" s="91">
        <f>IF('State Performance Input Sheet'!B40="State",LOOKUP('State Performance Input Sheet'!D40,'Scoring Sheet'!$B$4:$B$35,'Scoring Sheet'!$D$4:$D$35),LOOKUP('State Performance Input Sheet'!C40,'Scoring Sheet'!$B$4:$B$35,'Scoring Sheet'!$D$4:$D$35))</f>
        <v>1</v>
      </c>
      <c r="D38" s="91">
        <f>LOOKUP('State Performance Input Sheet'!E40,'Scoring Sheet'!$B$4:$B$35,'Scoring Sheet'!$D$4:$D$35)</f>
        <v>1</v>
      </c>
      <c r="E38" s="91">
        <f>LOOKUP('State Performance Input Sheet'!F40,'Scoring Sheet'!$F$4:$F$45,'Scoring Sheet'!$H$4:$H$45)</f>
        <v>0.77</v>
      </c>
      <c r="F38" s="91">
        <f>0.75*LOOKUP('State Performance Input Sheet'!G40,'Scoring Sheet'!$F$4:$F$45,'Scoring Sheet'!$H$4:$H$45)</f>
        <v>0.57000000000000006</v>
      </c>
      <c r="G38" s="91">
        <f>IFERROR(0.75*LOOKUP(ROUND('State Performance Input Sheet'!H40,2),'Scoring Sheet'!B$39:C$46,'Scoring Sheet'!D$39:D$46),0)</f>
        <v>0.67500000000000004</v>
      </c>
      <c r="H38" s="92">
        <f t="shared" si="3"/>
        <v>4.0149999999999997</v>
      </c>
      <c r="I38" s="93">
        <f>B38*H38*(1.05)^'National Incentive Pool'!$C$1</f>
        <v>4886607171.71</v>
      </c>
      <c r="J38" s="94">
        <f t="shared" si="4"/>
        <v>2.6527087419279092E-2</v>
      </c>
      <c r="K38" s="93">
        <f t="shared" si="5"/>
        <v>15253075.266085478</v>
      </c>
      <c r="L38" s="93">
        <v>15253075.266085478</v>
      </c>
      <c r="M38" s="24"/>
      <c r="N38" s="23"/>
      <c r="S38" s="9"/>
    </row>
    <row r="39" spans="1:19">
      <c r="A39" s="71" t="s">
        <v>55</v>
      </c>
      <c r="B39" s="67">
        <f>IF(A39=$A$1,0,'State Collections input sheet'!B41)</f>
        <v>162982827</v>
      </c>
      <c r="C39" s="91">
        <f>IF('State Performance Input Sheet'!B41="State",LOOKUP('State Performance Input Sheet'!D41,'Scoring Sheet'!$B$4:$B$35,'Scoring Sheet'!$D$4:$D$35),LOOKUP('State Performance Input Sheet'!C41,'Scoring Sheet'!$B$4:$B$35,'Scoring Sheet'!$D$4:$D$35))</f>
        <v>1</v>
      </c>
      <c r="D39" s="91">
        <f>LOOKUP('State Performance Input Sheet'!E41,'Scoring Sheet'!$B$4:$B$35,'Scoring Sheet'!$D$4:$D$35)</f>
        <v>1</v>
      </c>
      <c r="E39" s="91">
        <f>LOOKUP('State Performance Input Sheet'!F41,'Scoring Sheet'!$F$4:$F$45,'Scoring Sheet'!$H$4:$H$45)</f>
        <v>0.9</v>
      </c>
      <c r="F39" s="91">
        <f>0.75*LOOKUP('State Performance Input Sheet'!G41,'Scoring Sheet'!$F$4:$F$45,'Scoring Sheet'!$H$4:$H$45)</f>
        <v>0.5625</v>
      </c>
      <c r="G39" s="91">
        <f>IFERROR(0.75*LOOKUP(ROUND('State Performance Input Sheet'!H41,2),'Scoring Sheet'!B$39:C$46,'Scoring Sheet'!D$39:D$46),0)</f>
        <v>0.75</v>
      </c>
      <c r="H39" s="92">
        <f t="shared" si="3"/>
        <v>4.2125000000000004</v>
      </c>
      <c r="I39" s="93">
        <f>B39*H39*(1.05)^'National Incentive Pool'!$C$1</f>
        <v>686565158.73750007</v>
      </c>
      <c r="J39" s="94">
        <f t="shared" si="4"/>
        <v>3.7270386885810704E-3</v>
      </c>
      <c r="K39" s="93">
        <f t="shared" si="5"/>
        <v>2143047.2459341157</v>
      </c>
      <c r="L39" s="93">
        <v>2143047.2459341157</v>
      </c>
      <c r="M39" s="24"/>
      <c r="N39" s="23"/>
    </row>
    <row r="40" spans="1:19">
      <c r="A40" s="71" t="s">
        <v>54</v>
      </c>
      <c r="B40" s="67">
        <f>IF(A40=$A$1,0,'State Collections input sheet'!B42)</f>
        <v>162982827</v>
      </c>
      <c r="C40" s="91">
        <f>IF('State Performance Input Sheet'!B42="State",LOOKUP('State Performance Input Sheet'!D42,'Scoring Sheet'!$B$4:$B$35,'Scoring Sheet'!$D$4:$D$35),LOOKUP('State Performance Input Sheet'!C42,'Scoring Sheet'!$B$4:$B$35,'Scoring Sheet'!$D$4:$D$35))</f>
        <v>1</v>
      </c>
      <c r="D40" s="91">
        <f>LOOKUP('State Performance Input Sheet'!E42,'Scoring Sheet'!$B$4:$B$35,'Scoring Sheet'!$D$4:$D$35)</f>
        <v>1</v>
      </c>
      <c r="E40" s="91">
        <f>LOOKUP('State Performance Input Sheet'!F42,'Scoring Sheet'!$F$4:$F$45,'Scoring Sheet'!$H$4:$H$45)</f>
        <v>0.79</v>
      </c>
      <c r="F40" s="91">
        <f>0.75*LOOKUP('State Performance Input Sheet'!G42,'Scoring Sheet'!$F$4:$F$45,'Scoring Sheet'!$H$4:$H$45)</f>
        <v>0.57000000000000006</v>
      </c>
      <c r="G40" s="91">
        <f>IFERROR(0.75*LOOKUP(ROUND('State Performance Input Sheet'!H42,2),'Scoring Sheet'!B$39:C$46,'Scoring Sheet'!D$39:D$46),0)</f>
        <v>0.75</v>
      </c>
      <c r="H40" s="92">
        <f t="shared" si="3"/>
        <v>4.1100000000000003</v>
      </c>
      <c r="I40" s="93">
        <f>B40*H40*(1.05)^'National Incentive Pool'!$C$1</f>
        <v>669859418.97000003</v>
      </c>
      <c r="J40" s="94">
        <f t="shared" si="4"/>
        <v>3.6363511003129254E-3</v>
      </c>
      <c r="K40" s="93">
        <f t="shared" si="5"/>
        <v>2090901.8826799321</v>
      </c>
      <c r="L40" s="93">
        <v>2090901.8826799321</v>
      </c>
      <c r="M40" s="24"/>
      <c r="N40" s="23"/>
    </row>
    <row r="41" spans="1:19">
      <c r="A41" s="71" t="s">
        <v>53</v>
      </c>
      <c r="B41" s="67">
        <f>IF(A41=$A$1,0,'State Collections input sheet'!B43)</f>
        <v>656772722</v>
      </c>
      <c r="C41" s="91">
        <f>IF('State Performance Input Sheet'!B43="State",LOOKUP('State Performance Input Sheet'!D43,'Scoring Sheet'!$B$4:$B$35,'Scoring Sheet'!$D$4:$D$35),LOOKUP('State Performance Input Sheet'!C43,'Scoring Sheet'!$B$4:$B$35,'Scoring Sheet'!$D$4:$D$35))</f>
        <v>1</v>
      </c>
      <c r="D41" s="91">
        <f>LOOKUP('State Performance Input Sheet'!E43,'Scoring Sheet'!$B$4:$B$35,'Scoring Sheet'!$D$4:$D$35)</f>
        <v>1</v>
      </c>
      <c r="E41" s="91">
        <f>LOOKUP('State Performance Input Sheet'!F43,'Scoring Sheet'!$F$4:$F$45,'Scoring Sheet'!$H$4:$H$45)</f>
        <v>0.65</v>
      </c>
      <c r="F41" s="91">
        <f>0.75*LOOKUP('State Performance Input Sheet'!G43,'Scoring Sheet'!$F$4:$F$45,'Scoring Sheet'!$H$4:$H$45)</f>
        <v>0.54</v>
      </c>
      <c r="G41" s="91">
        <f>IFERROR(0.75*LOOKUP(ROUND('State Performance Input Sheet'!H43,2),'Scoring Sheet'!B$39:C$46,'Scoring Sheet'!D$39:D$46),0)</f>
        <v>0.75</v>
      </c>
      <c r="H41" s="92">
        <f t="shared" si="3"/>
        <v>3.94</v>
      </c>
      <c r="I41" s="93">
        <f>B41*H41*(1.05)^'National Incentive Pool'!$C$1</f>
        <v>2587684524.6799998</v>
      </c>
      <c r="J41" s="94">
        <f t="shared" si="4"/>
        <v>1.4047319783980324E-2</v>
      </c>
      <c r="K41" s="93">
        <f t="shared" si="5"/>
        <v>8077208.8757886868</v>
      </c>
      <c r="L41" s="93">
        <v>8077208.8757886868</v>
      </c>
      <c r="M41" s="24"/>
      <c r="N41" s="23"/>
    </row>
    <row r="42" spans="1:19">
      <c r="A42" s="71" t="s">
        <v>52</v>
      </c>
      <c r="B42" s="67">
        <f>IF(A42=$A$1,0,'State Collections input sheet'!B44)</f>
        <v>567622078</v>
      </c>
      <c r="C42" s="91">
        <f>IF('State Performance Input Sheet'!B44="State",LOOKUP('State Performance Input Sheet'!D44,'Scoring Sheet'!$B$4:$B$35,'Scoring Sheet'!$D$4:$D$35),LOOKUP('State Performance Input Sheet'!C44,'Scoring Sheet'!$B$4:$B$35,'Scoring Sheet'!$D$4:$D$35))</f>
        <v>1</v>
      </c>
      <c r="D42" s="91">
        <f>LOOKUP('State Performance Input Sheet'!E44,'Scoring Sheet'!$B$4:$B$35,'Scoring Sheet'!$D$4:$D$35)</f>
        <v>1</v>
      </c>
      <c r="E42" s="91">
        <f>LOOKUP('State Performance Input Sheet'!F44,'Scoring Sheet'!$F$4:$F$45,'Scoring Sheet'!$H$4:$H$45)</f>
        <v>0.74</v>
      </c>
      <c r="F42" s="91">
        <f>0.75*LOOKUP('State Performance Input Sheet'!G44,'Scoring Sheet'!$F$4:$F$45,'Scoring Sheet'!$H$4:$H$45)</f>
        <v>0.54</v>
      </c>
      <c r="G42" s="91">
        <f>IFERROR(0.75*LOOKUP(ROUND('State Performance Input Sheet'!H44,2),'Scoring Sheet'!B$39:C$46,'Scoring Sheet'!D$39:D$46),0)</f>
        <v>0.52499999999999991</v>
      </c>
      <c r="H42" s="92">
        <f t="shared" si="3"/>
        <v>3.8050000000000002</v>
      </c>
      <c r="I42" s="93">
        <f>B42*H42*(1.05)^'National Incentive Pool'!$C$1</f>
        <v>2159802006.79</v>
      </c>
      <c r="J42" s="94">
        <f t="shared" si="4"/>
        <v>1.1724547242950117E-2</v>
      </c>
      <c r="K42" s="93">
        <f t="shared" si="5"/>
        <v>6741614.6646963172</v>
      </c>
      <c r="L42" s="93">
        <v>6741614.6646963172</v>
      </c>
      <c r="M42" s="24"/>
      <c r="N42" s="23"/>
    </row>
    <row r="43" spans="1:19">
      <c r="A43" s="71" t="s">
        <v>51</v>
      </c>
      <c r="B43" s="67">
        <f>IF(A43=$A$1,0,'State Collections input sheet'!B45)</f>
        <v>1954989585</v>
      </c>
      <c r="C43" s="91">
        <f>IF('State Performance Input Sheet'!B45="State",LOOKUP('State Performance Input Sheet'!D45,'Scoring Sheet'!$B$4:$B$35,'Scoring Sheet'!$D$4:$D$35),LOOKUP('State Performance Input Sheet'!C45,'Scoring Sheet'!$B$4:$B$35,'Scoring Sheet'!$D$4:$D$35))</f>
        <v>1</v>
      </c>
      <c r="D43" s="91">
        <f>LOOKUP('State Performance Input Sheet'!E45,'Scoring Sheet'!$B$4:$B$35,'Scoring Sheet'!$D$4:$D$35)</f>
        <v>1</v>
      </c>
      <c r="E43" s="91">
        <f>LOOKUP('State Performance Input Sheet'!F45,'Scoring Sheet'!$F$4:$F$45,'Scoring Sheet'!$H$4:$H$45)</f>
        <v>1</v>
      </c>
      <c r="F43" s="91">
        <f>0.75*LOOKUP('State Performance Input Sheet'!G45,'Scoring Sheet'!$F$4:$F$45,'Scoring Sheet'!$H$4:$H$45)</f>
        <v>0.75</v>
      </c>
      <c r="G43" s="91">
        <f>IFERROR(0.75*LOOKUP(ROUND('State Performance Input Sheet'!H45,2),'Scoring Sheet'!B$39:C$46,'Scoring Sheet'!D$39:D$46),0)</f>
        <v>0.67500000000000004</v>
      </c>
      <c r="H43" s="92">
        <f t="shared" si="3"/>
        <v>4.4249999999999998</v>
      </c>
      <c r="I43" s="93">
        <f>B43*H43*(1.05)^'National Incentive Pool'!$C$1</f>
        <v>8650828913.625</v>
      </c>
      <c r="J43" s="94">
        <f t="shared" si="4"/>
        <v>4.6961273287832908E-2</v>
      </c>
      <c r="K43" s="93">
        <f t="shared" si="5"/>
        <v>27002732.140503921</v>
      </c>
      <c r="L43" s="93">
        <v>27002732.140503921</v>
      </c>
      <c r="M43" s="24"/>
      <c r="N43" s="23"/>
    </row>
    <row r="44" spans="1:19">
      <c r="A44" s="71" t="s">
        <v>50</v>
      </c>
      <c r="B44" s="67">
        <f>IF(A44=$A$1,0,'State Collections input sheet'!B46)</f>
        <v>0</v>
      </c>
      <c r="C44" s="91">
        <f>IF('State Performance Input Sheet'!B46="State",LOOKUP('State Performance Input Sheet'!D46,'Scoring Sheet'!$B$4:$B$35,'Scoring Sheet'!$D$4:$D$35),LOOKUP('State Performance Input Sheet'!C46,'Scoring Sheet'!$B$4:$B$35,'Scoring Sheet'!$D$4:$D$35))</f>
        <v>0.98</v>
      </c>
      <c r="D44" s="91">
        <f>LOOKUP('State Performance Input Sheet'!E46,'Scoring Sheet'!$B$4:$B$35,'Scoring Sheet'!$D$4:$D$35)</f>
        <v>1</v>
      </c>
      <c r="E44" s="91">
        <f>LOOKUP('State Performance Input Sheet'!F46,'Scoring Sheet'!$F$4:$F$45,'Scoring Sheet'!$H$4:$H$45)</f>
        <v>0.63</v>
      </c>
      <c r="F44" s="91">
        <f>0.75*LOOKUP('State Performance Input Sheet'!G46,'Scoring Sheet'!$F$4:$F$45,'Scoring Sheet'!$H$4:$H$45)</f>
        <v>0.40500000000000003</v>
      </c>
      <c r="G44" s="91">
        <f>IFERROR(0.75*LOOKUP(ROUND('State Performance Input Sheet'!H46,2),'Scoring Sheet'!B$39:C$46,'Scoring Sheet'!D$39:D$46),0)</f>
        <v>0.75</v>
      </c>
      <c r="H44" s="92">
        <f t="shared" si="3"/>
        <v>3.7649999999999997</v>
      </c>
      <c r="I44" s="93">
        <f>B44*H44*(1.05)^'National Incentive Pool'!$C$1</f>
        <v>0</v>
      </c>
      <c r="J44" s="94">
        <f t="shared" si="4"/>
        <v>0</v>
      </c>
      <c r="K44" s="93">
        <f t="shared" si="5"/>
        <v>0</v>
      </c>
      <c r="L44" s="93">
        <v>0</v>
      </c>
      <c r="M44" s="24"/>
      <c r="N44" s="23"/>
    </row>
    <row r="45" spans="1:19">
      <c r="A45" s="71" t="s">
        <v>49</v>
      </c>
      <c r="B45" s="67">
        <f>IF(A45=$A$1,0,'State Collections input sheet'!B47)</f>
        <v>129543518</v>
      </c>
      <c r="C45" s="91">
        <f>IF('State Performance Input Sheet'!B47="State",LOOKUP('State Performance Input Sheet'!D47,'Scoring Sheet'!$B$4:$B$35,'Scoring Sheet'!$D$4:$D$35),LOOKUP('State Performance Input Sheet'!C47,'Scoring Sheet'!$B$4:$B$35,'Scoring Sheet'!$D$4:$D$35))</f>
        <v>1</v>
      </c>
      <c r="D45" s="91">
        <f>LOOKUP('State Performance Input Sheet'!E47,'Scoring Sheet'!$B$4:$B$35,'Scoring Sheet'!$D$4:$D$35)</f>
        <v>0.88</v>
      </c>
      <c r="E45" s="91">
        <f>LOOKUP('State Performance Input Sheet'!F47,'Scoring Sheet'!$F$4:$F$45,'Scoring Sheet'!$H$4:$H$45)</f>
        <v>0.72</v>
      </c>
      <c r="F45" s="91">
        <f>0.75*LOOKUP('State Performance Input Sheet'!G47,'Scoring Sheet'!$F$4:$F$45,'Scoring Sheet'!$H$4:$H$45)</f>
        <v>0.46499999999999997</v>
      </c>
      <c r="G45" s="91">
        <f>IFERROR(0.75*LOOKUP(ROUND('State Performance Input Sheet'!H47,2),'Scoring Sheet'!B$39:C$46,'Scoring Sheet'!D$39:D$46),0)</f>
        <v>0.75</v>
      </c>
      <c r="H45" s="92">
        <f t="shared" si="3"/>
        <v>3.8149999999999995</v>
      </c>
      <c r="I45" s="93">
        <f>B45*H45*(1.05)^'National Incentive Pool'!$C$1</f>
        <v>494208521.16999996</v>
      </c>
      <c r="J45" s="94">
        <f t="shared" si="4"/>
        <v>2.6828251553196979E-3</v>
      </c>
      <c r="K45" s="93">
        <f t="shared" si="5"/>
        <v>1542624.4643088263</v>
      </c>
      <c r="L45" s="93">
        <v>1542624.4643088263</v>
      </c>
      <c r="M45" s="24"/>
      <c r="N45" s="23"/>
    </row>
    <row r="46" spans="1:19">
      <c r="A46" s="71" t="s">
        <v>48</v>
      </c>
      <c r="B46" s="67">
        <f>IF(A46=$A$1,0,'State Collections input sheet'!B48)</f>
        <v>485318989</v>
      </c>
      <c r="C46" s="91">
        <f>IF('State Performance Input Sheet'!B48="State",LOOKUP('State Performance Input Sheet'!D48,'Scoring Sheet'!$B$4:$B$35,'Scoring Sheet'!$D$4:$D$35),LOOKUP('State Performance Input Sheet'!C48,'Scoring Sheet'!$B$4:$B$35,'Scoring Sheet'!$D$4:$D$35))</f>
        <v>1</v>
      </c>
      <c r="D46" s="91">
        <f>LOOKUP('State Performance Input Sheet'!E48,'Scoring Sheet'!$B$4:$B$35,'Scoring Sheet'!$D$4:$D$35)</f>
        <v>1</v>
      </c>
      <c r="E46" s="91">
        <f>LOOKUP('State Performance Input Sheet'!F48,'Scoring Sheet'!$F$4:$F$45,'Scoring Sheet'!$H$4:$H$45)</f>
        <v>0.65</v>
      </c>
      <c r="F46" s="91">
        <f>0.75*LOOKUP('State Performance Input Sheet'!G48,'Scoring Sheet'!$F$4:$F$45,'Scoring Sheet'!$H$4:$H$45)</f>
        <v>0.54</v>
      </c>
      <c r="G46" s="91">
        <f>IFERROR(0.75*LOOKUP(ROUND('State Performance Input Sheet'!H48,2),'Scoring Sheet'!B$39:C$46,'Scoring Sheet'!D$39:D$46),0)</f>
        <v>0.44999999999999996</v>
      </c>
      <c r="H46" s="92">
        <f t="shared" si="3"/>
        <v>3.6399999999999997</v>
      </c>
      <c r="I46" s="93">
        <f>B46*H46*(1.05)^'National Incentive Pool'!$C$1</f>
        <v>1766561119.9599998</v>
      </c>
      <c r="J46" s="94">
        <f t="shared" si="4"/>
        <v>9.5898277913507596E-3</v>
      </c>
      <c r="K46" s="93">
        <f t="shared" si="5"/>
        <v>5514150.9800266866</v>
      </c>
      <c r="L46" s="93">
        <v>5514150.9800266866</v>
      </c>
      <c r="M46" s="24"/>
      <c r="N46" s="23"/>
    </row>
    <row r="47" spans="1:19">
      <c r="A47" s="71" t="s">
        <v>47</v>
      </c>
      <c r="B47" s="67">
        <f>IF(A47=$A$1,0,'State Collections input sheet'!B49)</f>
        <v>177452686</v>
      </c>
      <c r="C47" s="91">
        <f>IF('State Performance Input Sheet'!B49="State",LOOKUP('State Performance Input Sheet'!D49,'Scoring Sheet'!$B$4:$B$35,'Scoring Sheet'!$D$4:$D$35),LOOKUP('State Performance Input Sheet'!C49,'Scoring Sheet'!$B$4:$B$35,'Scoring Sheet'!$D$4:$D$35))</f>
        <v>1</v>
      </c>
      <c r="D47" s="91">
        <f>LOOKUP('State Performance Input Sheet'!E49,'Scoring Sheet'!$B$4:$B$35,'Scoring Sheet'!$D$4:$D$35)</f>
        <v>1</v>
      </c>
      <c r="E47" s="91">
        <f>LOOKUP('State Performance Input Sheet'!F49,'Scoring Sheet'!$F$4:$F$45,'Scoring Sheet'!$H$4:$H$45)</f>
        <v>0.73</v>
      </c>
      <c r="F47" s="91">
        <f>0.75*LOOKUP('State Performance Input Sheet'!G49,'Scoring Sheet'!$F$4:$F$45,'Scoring Sheet'!$H$4:$H$45)</f>
        <v>0.52499999999999991</v>
      </c>
      <c r="G47" s="91">
        <f>IFERROR(0.75*LOOKUP(ROUND('State Performance Input Sheet'!H49,2),'Scoring Sheet'!B$39:C$46,'Scoring Sheet'!D$39:D$46),0)</f>
        <v>0.75</v>
      </c>
      <c r="H47" s="92">
        <f t="shared" si="3"/>
        <v>4.0049999999999999</v>
      </c>
      <c r="I47" s="93">
        <f>B47*H47*(1.05)^'National Incentive Pool'!$C$1</f>
        <v>710698007.42999995</v>
      </c>
      <c r="J47" s="94">
        <f t="shared" si="4"/>
        <v>3.8580445510224661E-3</v>
      </c>
      <c r="K47" s="93">
        <f t="shared" si="5"/>
        <v>2218375.6168379178</v>
      </c>
      <c r="L47" s="93">
        <v>2218375.6168379178</v>
      </c>
      <c r="M47" s="24"/>
      <c r="N47" s="23"/>
    </row>
    <row r="48" spans="1:19">
      <c r="A48" s="71" t="s">
        <v>46</v>
      </c>
      <c r="B48" s="67">
        <f>IF(A48=$A$1,0,'State Collections input sheet'!B50)</f>
        <v>1058838322</v>
      </c>
      <c r="C48" s="91">
        <f>IF('State Performance Input Sheet'!B50="State",LOOKUP('State Performance Input Sheet'!D50,'Scoring Sheet'!$B$4:$B$35,'Scoring Sheet'!$D$4:$D$35),LOOKUP('State Performance Input Sheet'!C50,'Scoring Sheet'!$B$4:$B$35,'Scoring Sheet'!$D$4:$D$35))</f>
        <v>1</v>
      </c>
      <c r="D48" s="91">
        <f>LOOKUP('State Performance Input Sheet'!E50,'Scoring Sheet'!$B$4:$B$35,'Scoring Sheet'!$D$4:$D$35)</f>
        <v>1</v>
      </c>
      <c r="E48" s="91">
        <f>LOOKUP('State Performance Input Sheet'!F50,'Scoring Sheet'!$F$4:$F$45,'Scoring Sheet'!$H$4:$H$45)</f>
        <v>0.66</v>
      </c>
      <c r="F48" s="91">
        <f>0.75*LOOKUP('State Performance Input Sheet'!G50,'Scoring Sheet'!$F$4:$F$45,'Scoring Sheet'!$H$4:$H$45)</f>
        <v>0.54</v>
      </c>
      <c r="G48" s="91">
        <f>IFERROR(0.75*LOOKUP(ROUND('State Performance Input Sheet'!H50,2),'Scoring Sheet'!B$39:C$46,'Scoring Sheet'!D$39:D$46),0)</f>
        <v>0.75</v>
      </c>
      <c r="H48" s="92">
        <f t="shared" si="3"/>
        <v>3.95</v>
      </c>
      <c r="I48" s="93">
        <f>B48*H48*(1.05)^'National Incentive Pool'!$C$1</f>
        <v>4182411371.9000001</v>
      </c>
      <c r="J48" s="94">
        <f t="shared" si="4"/>
        <v>2.2704340289124138E-2</v>
      </c>
      <c r="K48" s="93">
        <f t="shared" si="5"/>
        <v>13054995.666246379</v>
      </c>
      <c r="L48" s="93">
        <v>13054995.666246379</v>
      </c>
      <c r="M48" s="24"/>
      <c r="N48" s="23"/>
    </row>
    <row r="49" spans="1:19">
      <c r="A49" s="71" t="s">
        <v>45</v>
      </c>
      <c r="B49" s="67">
        <f>IF(A49=$A$1,0,'State Collections input sheet'!B51)</f>
        <v>6981485190</v>
      </c>
      <c r="C49" s="91">
        <f>IF('State Performance Input Sheet'!B51="State",LOOKUP('State Performance Input Sheet'!D51,'Scoring Sheet'!$B$4:$B$35,'Scoring Sheet'!$D$4:$D$35),LOOKUP('State Performance Input Sheet'!C51,'Scoring Sheet'!$B$4:$B$35,'Scoring Sheet'!$D$4:$D$35))</f>
        <v>1</v>
      </c>
      <c r="D49" s="91">
        <f>LOOKUP('State Performance Input Sheet'!E51,'Scoring Sheet'!$B$4:$B$35,'Scoring Sheet'!$D$4:$D$35)</f>
        <v>1</v>
      </c>
      <c r="E49" s="91">
        <f>LOOKUP('State Performance Input Sheet'!F51,'Scoring Sheet'!$F$4:$F$45,'Scoring Sheet'!$H$4:$H$45)</f>
        <v>0.75</v>
      </c>
      <c r="F49" s="91">
        <f>0.75*LOOKUP('State Performance Input Sheet'!G51,'Scoring Sheet'!$F$4:$F$45,'Scoring Sheet'!$H$4:$H$45)</f>
        <v>0.54749999999999999</v>
      </c>
      <c r="G49" s="91">
        <f>IFERROR(0.75*LOOKUP(ROUND('State Performance Input Sheet'!H51,2),'Scoring Sheet'!B$39:C$46,'Scoring Sheet'!D$39:D$46),0)</f>
        <v>0.75</v>
      </c>
      <c r="H49" s="92">
        <f t="shared" si="3"/>
        <v>4.0474999999999994</v>
      </c>
      <c r="I49" s="93">
        <f>B49*H49*(1.05)^'National Incentive Pool'!$C$1</f>
        <v>28257561306.524998</v>
      </c>
      <c r="J49" s="94">
        <f t="shared" si="4"/>
        <v>0.15339698336576502</v>
      </c>
      <c r="K49" s="93">
        <f t="shared" si="5"/>
        <v>88203265.435314879</v>
      </c>
      <c r="L49" s="93">
        <v>88203265.435314879</v>
      </c>
      <c r="M49" s="24"/>
      <c r="N49" s="23"/>
    </row>
    <row r="50" spans="1:19">
      <c r="A50" s="71" t="s">
        <v>44</v>
      </c>
      <c r="B50" s="67">
        <f>IF(A50=$A$1,0,'State Collections input sheet'!B52)</f>
        <v>384663271</v>
      </c>
      <c r="C50" s="91">
        <f>IF('State Performance Input Sheet'!B52="State",LOOKUP('State Performance Input Sheet'!D52,'Scoring Sheet'!$B$4:$B$35,'Scoring Sheet'!$D$4:$D$35),LOOKUP('State Performance Input Sheet'!C52,'Scoring Sheet'!$B$4:$B$35,'Scoring Sheet'!$D$4:$D$35))</f>
        <v>1</v>
      </c>
      <c r="D50" s="91">
        <f>LOOKUP('State Performance Input Sheet'!E52,'Scoring Sheet'!$B$4:$B$35,'Scoring Sheet'!$D$4:$D$35)</f>
        <v>1</v>
      </c>
      <c r="E50" s="91">
        <f>LOOKUP('State Performance Input Sheet'!F52,'Scoring Sheet'!$F$4:$F$45,'Scoring Sheet'!$H$4:$H$45)</f>
        <v>0.75</v>
      </c>
      <c r="F50" s="91">
        <f>0.75*LOOKUP('State Performance Input Sheet'!G52,'Scoring Sheet'!$F$4:$F$45,'Scoring Sheet'!$H$4:$H$45)</f>
        <v>0.55499999999999994</v>
      </c>
      <c r="G50" s="91">
        <f>IFERROR(0.75*LOOKUP(ROUND('State Performance Input Sheet'!H52,2),'Scoring Sheet'!B$39:C$46,'Scoring Sheet'!D$39:D$46),0)</f>
        <v>0.75</v>
      </c>
      <c r="H50" s="92">
        <f t="shared" si="3"/>
        <v>4.0549999999999997</v>
      </c>
      <c r="I50" s="93">
        <f>B50*H50*(1.05)^'National Incentive Pool'!$C$1</f>
        <v>1559809563.905</v>
      </c>
      <c r="J50" s="94">
        <f t="shared" si="4"/>
        <v>8.4674710295274576E-3</v>
      </c>
      <c r="K50" s="93">
        <f t="shared" si="5"/>
        <v>4868795.8419782883</v>
      </c>
      <c r="L50" s="93">
        <v>4868795.8419782883</v>
      </c>
      <c r="M50" s="24"/>
      <c r="N50" s="23"/>
      <c r="S50" s="9"/>
    </row>
    <row r="51" spans="1:19">
      <c r="A51" s="71" t="s">
        <v>43</v>
      </c>
      <c r="B51" s="67">
        <f>IF(A51=$A$1,0,'State Collections input sheet'!B53)</f>
        <v>66826367</v>
      </c>
      <c r="C51" s="91">
        <f>IF('State Performance Input Sheet'!B53="State",LOOKUP('State Performance Input Sheet'!D53,'Scoring Sheet'!$B$4:$B$35,'Scoring Sheet'!$D$4:$D$35),LOOKUP('State Performance Input Sheet'!C53,'Scoring Sheet'!$B$4:$B$35,'Scoring Sheet'!$D$4:$D$35))</f>
        <v>1</v>
      </c>
      <c r="D51" s="91">
        <f>LOOKUP('State Performance Input Sheet'!E53,'Scoring Sheet'!$B$4:$B$35,'Scoring Sheet'!$D$4:$D$35)</f>
        <v>1</v>
      </c>
      <c r="E51" s="91">
        <f>LOOKUP('State Performance Input Sheet'!F53,'Scoring Sheet'!$F$4:$F$45,'Scoring Sheet'!$H$4:$H$45)</f>
        <v>0.88</v>
      </c>
      <c r="F51" s="91">
        <f>0.75*LOOKUP('State Performance Input Sheet'!G53,'Scoring Sheet'!$F$4:$F$45,'Scoring Sheet'!$H$4:$H$45)</f>
        <v>0.69000000000000006</v>
      </c>
      <c r="G51" s="91">
        <f>IFERROR(0.75*LOOKUP(ROUND('State Performance Input Sheet'!H53,2),'Scoring Sheet'!B$39:C$46,'Scoring Sheet'!D$39:D$46),0)</f>
        <v>0.375</v>
      </c>
      <c r="H51" s="92">
        <f t="shared" si="3"/>
        <v>3.9449999999999998</v>
      </c>
      <c r="I51" s="93">
        <f>B51*H51*(1.05)^'National Incentive Pool'!$C$1</f>
        <v>263630017.815</v>
      </c>
      <c r="J51" s="94">
        <f t="shared" si="4"/>
        <v>1.4311231255524453E-3</v>
      </c>
      <c r="K51" s="93">
        <f t="shared" si="5"/>
        <v>822895.79719265597</v>
      </c>
      <c r="L51" s="93">
        <v>822895.79719265597</v>
      </c>
      <c r="M51" s="24"/>
      <c r="N51" s="23"/>
    </row>
    <row r="52" spans="1:19">
      <c r="A52" s="71" t="s">
        <v>42</v>
      </c>
      <c r="B52" s="67">
        <f>IF(A52=$A$1,0,'State Collections input sheet'!B54)</f>
        <v>0</v>
      </c>
      <c r="C52" s="91">
        <f>IF('State Performance Input Sheet'!B54="State",LOOKUP('State Performance Input Sheet'!D54,'Scoring Sheet'!$B$4:$B$35,'Scoring Sheet'!$D$4:$D$35),LOOKUP('State Performance Input Sheet'!C54,'Scoring Sheet'!$B$4:$B$35,'Scoring Sheet'!$D$4:$D$35))</f>
        <v>1</v>
      </c>
      <c r="D52" s="91">
        <f>LOOKUP('State Performance Input Sheet'!E54,'Scoring Sheet'!$B$4:$B$35,'Scoring Sheet'!$D$4:$D$35)</f>
        <v>0.8</v>
      </c>
      <c r="E52" s="91">
        <f>LOOKUP('State Performance Input Sheet'!F54,'Scoring Sheet'!$F$4:$F$45,'Scoring Sheet'!$H$4:$H$45)</f>
        <v>0.57999999999999996</v>
      </c>
      <c r="F52" s="91">
        <f>0.75*LOOKUP('State Performance Input Sheet'!G54,'Scoring Sheet'!$F$4:$F$45,'Scoring Sheet'!$H$4:$H$45)</f>
        <v>0</v>
      </c>
      <c r="G52" s="91">
        <f>IFERROR(0.75*LOOKUP(ROUND('State Performance Input Sheet'!H54,2),'Scoring Sheet'!B$39:C$46,'Scoring Sheet'!D$39:D$46),0)</f>
        <v>0</v>
      </c>
      <c r="H52" s="92">
        <f t="shared" si="3"/>
        <v>2.38</v>
      </c>
      <c r="I52" s="93">
        <f>B52*H52*(1.05)^'National Incentive Pool'!$C$1</f>
        <v>0</v>
      </c>
      <c r="J52" s="94">
        <f t="shared" si="4"/>
        <v>0</v>
      </c>
      <c r="K52" s="93">
        <f t="shared" si="5"/>
        <v>0</v>
      </c>
      <c r="L52" s="93">
        <v>0</v>
      </c>
      <c r="M52" s="24"/>
      <c r="N52" s="23"/>
    </row>
    <row r="53" spans="1:19">
      <c r="A53" s="71" t="s">
        <v>41</v>
      </c>
      <c r="B53" s="67">
        <f>IF(A53=$A$1,0,'State Collections input sheet'!B55)</f>
        <v>0</v>
      </c>
      <c r="C53" s="91">
        <f>IF('State Performance Input Sheet'!B55="State",LOOKUP('State Performance Input Sheet'!D55,'Scoring Sheet'!$B$4:$B$35,'Scoring Sheet'!$D$4:$D$35),LOOKUP('State Performance Input Sheet'!C55,'Scoring Sheet'!$B$4:$B$35,'Scoring Sheet'!$D$4:$D$35))</f>
        <v>1</v>
      </c>
      <c r="D53" s="91">
        <f>LOOKUP('State Performance Input Sheet'!E55,'Scoring Sheet'!$B$4:$B$35,'Scoring Sheet'!$D$4:$D$35)</f>
        <v>1</v>
      </c>
      <c r="E53" s="91">
        <f>LOOKUP('State Performance Input Sheet'!F55,'Scoring Sheet'!$F$4:$F$45,'Scoring Sheet'!$H$4:$H$45)</f>
        <v>0.75</v>
      </c>
      <c r="F53" s="91">
        <f>0.75*LOOKUP('State Performance Input Sheet'!G55,'Scoring Sheet'!$F$4:$F$45,'Scoring Sheet'!$H$4:$H$45)</f>
        <v>0.5625</v>
      </c>
      <c r="G53" s="91">
        <f>IFERROR(0.75*LOOKUP(ROUND('State Performance Input Sheet'!H55,2),'Scoring Sheet'!B$39:C$46,'Scoring Sheet'!D$39:D$46),0)</f>
        <v>0.75</v>
      </c>
      <c r="H53" s="92">
        <f t="shared" si="3"/>
        <v>4.0625</v>
      </c>
      <c r="I53" s="93">
        <f>B53*H53*(1.05)^'National Incentive Pool'!$C$1</f>
        <v>0</v>
      </c>
      <c r="J53" s="94">
        <f t="shared" si="4"/>
        <v>0</v>
      </c>
      <c r="K53" s="93">
        <f t="shared" si="5"/>
        <v>0</v>
      </c>
      <c r="L53" s="93">
        <v>13521757.469374618</v>
      </c>
      <c r="M53" s="24"/>
      <c r="N53" s="23"/>
    </row>
    <row r="54" spans="1:19">
      <c r="A54" s="71" t="s">
        <v>40</v>
      </c>
      <c r="B54" s="67">
        <f>IF(A54=$A$1,0,'State Collections input sheet'!B56)</f>
        <v>1093511367</v>
      </c>
      <c r="C54" s="91">
        <f>IF('State Performance Input Sheet'!B56="State",LOOKUP('State Performance Input Sheet'!D56,'Scoring Sheet'!$B$4:$B$35,'Scoring Sheet'!$D$4:$D$35),LOOKUP('State Performance Input Sheet'!C56,'Scoring Sheet'!$B$4:$B$35,'Scoring Sheet'!$D$4:$D$35))</f>
        <v>1</v>
      </c>
      <c r="D54" s="91">
        <f>LOOKUP('State Performance Input Sheet'!E56,'Scoring Sheet'!$B$4:$B$35,'Scoring Sheet'!$D$4:$D$35)</f>
        <v>1</v>
      </c>
      <c r="E54" s="91">
        <f>LOOKUP('State Performance Input Sheet'!F56,'Scoring Sheet'!$F$4:$F$45,'Scoring Sheet'!$H$4:$H$45)</f>
        <v>0.77</v>
      </c>
      <c r="F54" s="91">
        <f>0.75*LOOKUP('State Performance Input Sheet'!G56,'Scoring Sheet'!$F$4:$F$45,'Scoring Sheet'!$H$4:$H$45)</f>
        <v>0.54</v>
      </c>
      <c r="G54" s="91">
        <f>IFERROR(0.75*LOOKUP(ROUND('State Performance Input Sheet'!H56,2),'Scoring Sheet'!B$39:C$46,'Scoring Sheet'!D$39:D$46),0)</f>
        <v>0.60000000000000009</v>
      </c>
      <c r="H54" s="92">
        <f t="shared" si="3"/>
        <v>3.91</v>
      </c>
      <c r="I54" s="93">
        <f>B54*H54*(1.05)^'National Incentive Pool'!$C$1</f>
        <v>4275629444.9700003</v>
      </c>
      <c r="J54" s="94">
        <f t="shared" si="4"/>
        <v>2.3210377276852642E-2</v>
      </c>
      <c r="K54" s="93">
        <f t="shared" si="5"/>
        <v>13345966.93419027</v>
      </c>
      <c r="L54" s="93">
        <v>13345966.93419027</v>
      </c>
      <c r="M54" s="24"/>
      <c r="N54" s="23"/>
    </row>
    <row r="55" spans="1:19">
      <c r="A55" s="71" t="s">
        <v>39</v>
      </c>
      <c r="B55" s="67">
        <f>IF(A55=$A$1,0,'State Collections input sheet'!B57)</f>
        <v>307958043</v>
      </c>
      <c r="C55" s="91">
        <f>IF('State Performance Input Sheet'!B57="State",LOOKUP('State Performance Input Sheet'!D57,'Scoring Sheet'!$B$4:$B$35,'Scoring Sheet'!$D$4:$D$35),LOOKUP('State Performance Input Sheet'!C57,'Scoring Sheet'!$B$4:$B$35,'Scoring Sheet'!$D$4:$D$35))</f>
        <v>1</v>
      </c>
      <c r="D55" s="91">
        <f>LOOKUP('State Performance Input Sheet'!E57,'Scoring Sheet'!$B$4:$B$35,'Scoring Sheet'!$D$4:$D$35)</f>
        <v>1</v>
      </c>
      <c r="E55" s="91">
        <f>LOOKUP('State Performance Input Sheet'!F57,'Scoring Sheet'!$F$4:$F$45,'Scoring Sheet'!$H$4:$H$45)</f>
        <v>0.78</v>
      </c>
      <c r="F55" s="91">
        <f>0.75*LOOKUP('State Performance Input Sheet'!G57,'Scoring Sheet'!$F$4:$F$45,'Scoring Sheet'!$H$4:$H$45)</f>
        <v>0.52499999999999991</v>
      </c>
      <c r="G55" s="91">
        <f>IFERROR(0.75*LOOKUP(ROUND('State Performance Input Sheet'!H57,2),'Scoring Sheet'!B$39:C$46,'Scoring Sheet'!D$39:D$46),0)</f>
        <v>0.75</v>
      </c>
      <c r="H55" s="92">
        <f t="shared" si="3"/>
        <v>4.0549999999999997</v>
      </c>
      <c r="I55" s="93">
        <f>B55*H55*(1.05)^'National Incentive Pool'!$C$1</f>
        <v>1248769864.365</v>
      </c>
      <c r="J55" s="94">
        <f t="shared" si="4"/>
        <v>6.778983084695058E-3</v>
      </c>
      <c r="K55" s="93">
        <f t="shared" si="5"/>
        <v>3897915.2736996585</v>
      </c>
      <c r="L55" s="93">
        <v>3897915.2736996585</v>
      </c>
      <c r="M55" s="24"/>
      <c r="N55" s="23"/>
    </row>
    <row r="56" spans="1:19">
      <c r="A56" s="71" t="s">
        <v>38</v>
      </c>
      <c r="B56" s="67">
        <f>IF(A56=$A$1,0,'State Collections input sheet'!B58)</f>
        <v>1190116999</v>
      </c>
      <c r="C56" s="91">
        <f>IF('State Performance Input Sheet'!B58="State",LOOKUP('State Performance Input Sheet'!D58,'Scoring Sheet'!$B$4:$B$35,'Scoring Sheet'!$D$4:$D$35),LOOKUP('State Performance Input Sheet'!C58,'Scoring Sheet'!$B$4:$B$35,'Scoring Sheet'!$D$4:$D$35))</f>
        <v>1</v>
      </c>
      <c r="D56" s="91">
        <f>LOOKUP('State Performance Input Sheet'!E58,'Scoring Sheet'!$B$4:$B$35,'Scoring Sheet'!$D$4:$D$35)</f>
        <v>1</v>
      </c>
      <c r="E56" s="91">
        <f>LOOKUP('State Performance Input Sheet'!F58,'Scoring Sheet'!$F$4:$F$45,'Scoring Sheet'!$H$4:$H$45)</f>
        <v>0.88</v>
      </c>
      <c r="F56" s="91">
        <f>0.75*LOOKUP('State Performance Input Sheet'!G58,'Scoring Sheet'!$F$4:$F$45,'Scoring Sheet'!$H$4:$H$45)</f>
        <v>0.59250000000000003</v>
      </c>
      <c r="G56" s="91">
        <f>IFERROR(0.75*LOOKUP(ROUND('State Performance Input Sheet'!H58,2),'Scoring Sheet'!B$39:C$46,'Scoring Sheet'!D$39:D$46),0)</f>
        <v>0.75</v>
      </c>
      <c r="H56" s="92">
        <f t="shared" si="3"/>
        <v>4.2225000000000001</v>
      </c>
      <c r="I56" s="93">
        <f>B56*H56*(1.05)^'National Incentive Pool'!$C$1</f>
        <v>5025269028.2775002</v>
      </c>
      <c r="J56" s="94">
        <f t="shared" si="4"/>
        <v>2.7279817291281153E-2</v>
      </c>
      <c r="K56" s="93">
        <f t="shared" si="5"/>
        <v>15685894.942486662</v>
      </c>
      <c r="L56" s="93">
        <v>15685894.942486662</v>
      </c>
      <c r="M56" s="24"/>
      <c r="N56" s="23"/>
    </row>
    <row r="57" spans="1:19">
      <c r="A57" s="71" t="s">
        <v>37</v>
      </c>
      <c r="B57" s="67">
        <f>IF(A57=$A$1,0,'State Collections input sheet'!B59)</f>
        <v>94907829</v>
      </c>
      <c r="C57" s="91">
        <f>IF('State Performance Input Sheet'!B59="State",LOOKUP('State Performance Input Sheet'!D59,'Scoring Sheet'!$B$4:$B$35,'Scoring Sheet'!$D$4:$D$35),LOOKUP('State Performance Input Sheet'!C59,'Scoring Sheet'!$B$4:$B$35,'Scoring Sheet'!$D$4:$D$35))</f>
        <v>1</v>
      </c>
      <c r="D57" s="91">
        <f>LOOKUP('State Performance Input Sheet'!E59,'Scoring Sheet'!$B$4:$B$35,'Scoring Sheet'!$D$4:$D$35)</f>
        <v>1</v>
      </c>
      <c r="E57" s="91">
        <f>LOOKUP('State Performance Input Sheet'!F59,'Scoring Sheet'!$F$4:$F$45,'Scoring Sheet'!$H$4:$H$45)</f>
        <v>0.78</v>
      </c>
      <c r="F57" s="91">
        <f>0.75*LOOKUP('State Performance Input Sheet'!G59,'Scoring Sheet'!$F$4:$F$45,'Scoring Sheet'!$H$4:$H$45)</f>
        <v>0.63</v>
      </c>
      <c r="G57" s="91">
        <f>IFERROR(0.75*LOOKUP(ROUND('State Performance Input Sheet'!H59,2),'Scoring Sheet'!B$39:C$46,'Scoring Sheet'!D$39:D$46),0)</f>
        <v>0.75</v>
      </c>
      <c r="H57" s="92">
        <f t="shared" si="3"/>
        <v>4.16</v>
      </c>
      <c r="I57" s="93">
        <f>B57*H57*(1.05)^'National Incentive Pool'!$C$1</f>
        <v>394816568.63999999</v>
      </c>
      <c r="J57" s="94">
        <f t="shared" si="4"/>
        <v>2.1432730855728038E-3</v>
      </c>
      <c r="K57" s="93">
        <f t="shared" si="5"/>
        <v>1232382.0242043622</v>
      </c>
      <c r="L57" s="93">
        <v>1232382.0242043622</v>
      </c>
      <c r="M57" s="24"/>
      <c r="N57" s="23"/>
    </row>
    <row r="58" spans="1:19">
      <c r="A58" s="70"/>
      <c r="B58" s="58"/>
      <c r="C58" s="95"/>
      <c r="D58" s="95"/>
      <c r="E58" s="95"/>
      <c r="F58" s="96"/>
      <c r="G58" s="96"/>
      <c r="H58" s="97"/>
      <c r="I58" s="95"/>
      <c r="J58" s="95"/>
      <c r="K58" s="95"/>
      <c r="L58" s="95"/>
    </row>
    <row r="59" spans="1:19">
      <c r="A59" s="71" t="s">
        <v>36</v>
      </c>
      <c r="B59" s="67">
        <f>SUM(B4:B57)+B1</f>
        <v>46175648853</v>
      </c>
      <c r="C59" s="95"/>
      <c r="D59" s="95"/>
      <c r="E59" s="95"/>
      <c r="F59" s="96"/>
      <c r="G59" s="96"/>
      <c r="H59" s="98">
        <f>SUM(H4:H58)</f>
        <v>210.38499999999996</v>
      </c>
      <c r="I59" s="99">
        <f>SUM(I4:I57)+I1</f>
        <v>184211975271.6825</v>
      </c>
      <c r="J59" s="100"/>
      <c r="K59" s="101">
        <v>575000000</v>
      </c>
      <c r="L59" s="101">
        <f>SUM(L4:L57)</f>
        <v>574999999.512519</v>
      </c>
      <c r="M59" s="21"/>
      <c r="N59" s="22"/>
      <c r="O59" s="21"/>
      <c r="P59" s="20"/>
    </row>
    <row r="60" spans="1:19">
      <c r="A60" s="71"/>
      <c r="B60" s="102"/>
      <c r="C60" s="103"/>
      <c r="D60" s="103"/>
      <c r="E60" s="103"/>
      <c r="F60" s="91"/>
      <c r="G60" s="91"/>
      <c r="H60" s="104"/>
      <c r="I60" s="99"/>
      <c r="J60" s="93"/>
      <c r="K60" s="103"/>
      <c r="L60" s="103"/>
    </row>
    <row r="61" spans="1:19">
      <c r="A61" s="71"/>
      <c r="B61" s="102"/>
      <c r="C61" s="59"/>
      <c r="D61" s="59"/>
      <c r="E61" s="59"/>
      <c r="F61" s="105"/>
      <c r="G61" s="105"/>
      <c r="H61" s="106"/>
      <c r="I61" s="107"/>
      <c r="J61" s="107"/>
      <c r="K61" s="59"/>
      <c r="L61" s="59"/>
    </row>
    <row r="62" spans="1:19">
      <c r="A62" s="58"/>
      <c r="B62" s="102"/>
      <c r="C62" s="103"/>
      <c r="D62" s="103"/>
      <c r="E62" s="103"/>
      <c r="F62" s="91"/>
      <c r="G62" s="91"/>
      <c r="H62" s="92"/>
      <c r="I62" s="93"/>
      <c r="J62" s="93"/>
      <c r="K62" s="93"/>
      <c r="L62" s="93"/>
    </row>
    <row r="63" spans="1:19">
      <c r="A63" s="70"/>
      <c r="B63" s="108"/>
      <c r="C63" s="58"/>
      <c r="D63" s="58"/>
      <c r="E63" s="58"/>
      <c r="F63" s="109"/>
      <c r="G63" s="109"/>
      <c r="H63" s="110"/>
      <c r="I63" s="67"/>
      <c r="J63" s="67"/>
      <c r="K63" s="65">
        <f>Projections!B25</f>
        <v>575000000</v>
      </c>
      <c r="L63" s="65"/>
    </row>
    <row r="64" spans="1:19">
      <c r="A64" s="1" t="s">
        <v>35</v>
      </c>
    </row>
  </sheetData>
  <mergeCells count="1">
    <mergeCell ref="C2:G2"/>
  </mergeCells>
  <conditionalFormatting sqref="M4:M57">
    <cfRule type="top10" dxfId="3" priority="1" rank="10"/>
  </conditionalFormatting>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B01C9-7E33-43DE-A8FD-3189139F6FB6}">
  <sheetPr>
    <pageSetUpPr fitToPage="1"/>
  </sheetPr>
  <dimension ref="A1:BM154"/>
  <sheetViews>
    <sheetView zoomScale="70" zoomScaleNormal="70" workbookViewId="0">
      <pane xSplit="1" ySplit="1" topLeftCell="BJ2" activePane="bottomRight" state="frozen"/>
      <selection activeCell="A3" sqref="A3:BM60"/>
      <selection pane="topRight" activeCell="A3" sqref="A3:BM60"/>
      <selection pane="bottomLeft" activeCell="A3" sqref="A3:BM60"/>
      <selection pane="bottomRight" activeCell="A3" sqref="A3:BM60"/>
    </sheetView>
  </sheetViews>
  <sheetFormatPr defaultRowHeight="13.2"/>
  <cols>
    <col min="1" max="1" width="14.3984375" style="1" bestFit="1" customWidth="1"/>
    <col min="2" max="2" width="8.19921875" style="36" customWidth="1"/>
    <col min="3" max="3" width="10.296875" style="36" customWidth="1"/>
    <col min="4" max="4" width="10.5" style="36" customWidth="1"/>
    <col min="5" max="5" width="11.59765625" style="36" customWidth="1"/>
    <col min="6" max="6" width="14.3984375" style="36" customWidth="1"/>
    <col min="7" max="7" width="12" style="36" customWidth="1"/>
    <col min="8" max="8" width="11.69921875" style="36" customWidth="1"/>
    <col min="9" max="9" width="8.796875" style="1"/>
    <col min="10" max="10" width="10.5" style="1" bestFit="1" customWidth="1"/>
    <col min="11" max="11" width="9.3984375" style="1" bestFit="1" customWidth="1"/>
    <col min="12" max="27" width="13.5" style="1" customWidth="1"/>
    <col min="28" max="28" width="12.8984375" style="1" bestFit="1" customWidth="1"/>
    <col min="29" max="29" width="10.69921875" style="1" bestFit="1" customWidth="1"/>
    <col min="30" max="57" width="8.796875" style="1"/>
    <col min="58" max="58" width="11.3984375" style="1" bestFit="1" customWidth="1"/>
    <col min="59" max="59" width="8.59765625" style="1" bestFit="1" customWidth="1"/>
    <col min="60" max="60" width="10.8984375" style="1" bestFit="1" customWidth="1"/>
    <col min="61" max="61" width="9.3984375" style="1" bestFit="1" customWidth="1"/>
    <col min="62" max="16384" width="8.796875" style="1"/>
  </cols>
  <sheetData>
    <row r="1" spans="1:65" s="28" customFormat="1">
      <c r="A1" s="28" t="str">
        <f>Projections!C1</f>
        <v>Virginia</v>
      </c>
      <c r="B1" s="48" t="str">
        <f>VLOOKUP($A$1,$A$6:$K$59,2,FALSE)</f>
        <v>State</v>
      </c>
      <c r="C1" s="46">
        <f>VLOOKUP($A$1,$A$6:$AA$59,3,FALSE)</f>
        <v>0.9741577719767065</v>
      </c>
      <c r="D1" s="46">
        <f>VLOOKUP($A$1,$A$6:$AA$59,4,FALSE)</f>
        <v>0.94368028665549331</v>
      </c>
      <c r="E1" s="46">
        <f>VLOOKUP($A$1,$A$6:$AA$59,5,FALSE)</f>
        <v>0.8961772962391501</v>
      </c>
      <c r="F1" s="46">
        <f>VLOOKUP($A$1,$A$6:$AA$59,6,FALSE)</f>
        <v>0.65012597781499604</v>
      </c>
      <c r="G1" s="46">
        <f>VLOOKUP($A$1,$A$6:$AA$59,7,FALSE)</f>
        <v>0.65919124072061941</v>
      </c>
      <c r="H1" s="47">
        <f>VLOOKUP($A$1,$A$6:$AA$59,8,FALSE)</f>
        <v>6.1898602652694095</v>
      </c>
      <c r="I1" s="46">
        <f>VLOOKUP($A$1,$A$6:$AA$59,9,FALSE)</f>
        <v>0.5</v>
      </c>
      <c r="J1" s="45">
        <f>VLOOKUP($A$1,$A$6:$AA$59,10,FALSE)</f>
        <v>294242</v>
      </c>
      <c r="K1" s="45">
        <f>VLOOKUP($A$1,$A$6:$AA$59,11,FALSE)</f>
        <v>263693</v>
      </c>
      <c r="L1" s="43">
        <f>VLOOKUP($A$1,$A$6:$AA$59,12,FALSE)</f>
        <v>8253112</v>
      </c>
      <c r="M1" s="42">
        <f>VLOOKUP($A$1,$A$6:$AA$59,13,FALSE)</f>
        <v>104792837</v>
      </c>
      <c r="N1" s="42">
        <f>VLOOKUP($A$1,$A$6:$AA$59,14,FALSE)</f>
        <v>343555745</v>
      </c>
      <c r="O1" s="42">
        <f>VLOOKUP($A$1,$A$6:$AA$59,15,FALSE)</f>
        <v>456601694</v>
      </c>
      <c r="P1" s="44">
        <f>VLOOKUP($A$1,$A$6:$AA$59,16,FALSE)</f>
        <v>6489308</v>
      </c>
      <c r="Q1" s="44">
        <f>VLOOKUP($A$1,$A$6:$AA$59,17,FALSE)</f>
        <v>74043204</v>
      </c>
      <c r="R1" s="44">
        <f>VLOOKUP($A$1,$A$6:$AA$59,18,FALSE)</f>
        <v>95161997</v>
      </c>
      <c r="S1" s="42">
        <f>VLOOKUP($A$1,$A$6:$AA$59,19,FALSE)</f>
        <v>175694509</v>
      </c>
      <c r="T1" s="43">
        <f>VLOOKUP($A$1,$A$6:$AA$59,20,FALSE)</f>
        <v>28038471</v>
      </c>
      <c r="U1" s="42">
        <f>VLOOKUP($A$1,$A$6:$AA$59,21,FALSE)</f>
        <v>187731385</v>
      </c>
      <c r="V1" s="42">
        <f>VLOOKUP($A$1,$A$6:$AA$59,22,FALSE)</f>
        <v>486558169</v>
      </c>
      <c r="W1" s="42">
        <f>VLOOKUP($A$1,$A$6:$AA$59,23,FALSE)</f>
        <v>702328025</v>
      </c>
      <c r="X1" s="42">
        <f>VLOOKUP($A$1,$A$6:$AA$59,24,FALSE)</f>
        <v>14742420</v>
      </c>
      <c r="Y1" s="42">
        <f>VLOOKUP($A$1,$A$6:$AA$59,25,FALSE)</f>
        <v>178836041</v>
      </c>
      <c r="Z1" s="42">
        <f>VLOOKUP($A$1,$A$6:$AA$59,26,FALSE)</f>
        <v>438717742</v>
      </c>
      <c r="AA1" s="42">
        <f>VLOOKUP($A$1,$A$6:$AA$59,27,FALSE)</f>
        <v>632296203</v>
      </c>
      <c r="AB1" s="42">
        <f>VLOOKUP($A$1,$A$6:$BB$59,28,FALSE)</f>
        <v>0</v>
      </c>
      <c r="AC1" s="42">
        <f>VLOOKUP($A$1,$A$6:$BB$59,29,FALSE)</f>
        <v>0</v>
      </c>
      <c r="AD1" s="42">
        <f>VLOOKUP($A$1,$A$6:$BB$59,30,FALSE)</f>
        <v>0</v>
      </c>
      <c r="AE1" s="42">
        <f>VLOOKUP($A$1,$A$6:$BB$59,31,FALSE)</f>
        <v>0</v>
      </c>
      <c r="AF1" s="42">
        <f>VLOOKUP($A$1,$A$6:$BB$59,32,FALSE)</f>
        <v>0</v>
      </c>
      <c r="AG1" s="42">
        <f>VLOOKUP($A$1,$A$6:$BB$59,33,FALSE)</f>
        <v>0</v>
      </c>
      <c r="AH1" s="42">
        <f>VLOOKUP($A$1,$A$6:$BB$59,34,FALSE)</f>
        <v>1</v>
      </c>
      <c r="AI1" s="42">
        <f>VLOOKUP($A$1,$A$6:$BB$59,35,FALSE)</f>
        <v>0</v>
      </c>
      <c r="AJ1" s="42">
        <f>VLOOKUP($A$1,$A$6:$BB$59,36,FALSE)</f>
        <v>1</v>
      </c>
      <c r="AK1" s="42">
        <f>VLOOKUP($A$1,$A$6:$BB$59,37,FALSE)</f>
        <v>0</v>
      </c>
      <c r="AL1" s="42">
        <f>VLOOKUP($A$1,$A$6:$BB$59,38,FALSE)</f>
        <v>0</v>
      </c>
      <c r="AM1" s="42">
        <f>VLOOKUP($A$1,$A$6:$BB$59,39,FALSE)</f>
        <v>0</v>
      </c>
      <c r="AN1" s="42">
        <f>VLOOKUP($A$1,$A$6:$BB$59,40,FALSE)</f>
        <v>0</v>
      </c>
      <c r="AO1" s="42">
        <f>VLOOKUP($A$1,$A$6:$BB$59,41,FALSE)</f>
        <v>0</v>
      </c>
      <c r="AP1" s="42">
        <f>VLOOKUP($A$1,$A$6:$BB$59,42,FALSE)</f>
        <v>0</v>
      </c>
      <c r="AQ1" s="42">
        <f>VLOOKUP($A$1,$A$6:$BB$59,43,FALSE)</f>
        <v>0</v>
      </c>
      <c r="AR1" s="42">
        <f>VLOOKUP($A$1,$A$6:$BB$59,44,FALSE)</f>
        <v>0</v>
      </c>
      <c r="AS1" s="42">
        <f>VLOOKUP($A$1,$A$6:$BB$59,45,FALSE)</f>
        <v>0</v>
      </c>
      <c r="AT1" s="42">
        <f>VLOOKUP($A$1,$A$6:$BB$59,46,FALSE)</f>
        <v>0</v>
      </c>
      <c r="AU1" s="42">
        <f>VLOOKUP($A$1,$A$6:$BB$59,47,FALSE)</f>
        <v>0</v>
      </c>
      <c r="AV1" s="42">
        <f>VLOOKUP($A$1,$A$6:$BB$59,48,FALSE)</f>
        <v>0</v>
      </c>
      <c r="AW1" s="42">
        <f>VLOOKUP($A$1,$A$6:$BB$59,49,FALSE)</f>
        <v>0</v>
      </c>
      <c r="AX1" s="42">
        <f>VLOOKUP($A$1,$A$6:$BB$59,50,FALSE)</f>
        <v>0</v>
      </c>
      <c r="AY1" s="42">
        <f>VLOOKUP($A$1,$A$6:$BB$59,51,FALSE)</f>
        <v>0</v>
      </c>
      <c r="AZ1" s="42">
        <f>VLOOKUP($A$1,$A$6:$BB$59,52,FALSE)</f>
        <v>1</v>
      </c>
      <c r="BA1" s="42">
        <f>VLOOKUP($A$1,$A$6:$BB$59,53,FALSE)</f>
        <v>0</v>
      </c>
      <c r="BB1" s="42">
        <f>VLOOKUP($A$1,$A$6:$BB$59,54,FALSE)</f>
        <v>1</v>
      </c>
      <c r="BC1" s="42">
        <f>VLOOKUP($A$1,$A$6:$BK$59,55,FALSE)</f>
        <v>0</v>
      </c>
      <c r="BD1" s="42">
        <f>VLOOKUP($A$1,$A$6:$BK$59,56,FALSE)</f>
        <v>0</v>
      </c>
      <c r="BE1" s="42">
        <f>VLOOKUP($A$1,$A$6:$BK$59,57,FALSE)</f>
        <v>0</v>
      </c>
      <c r="BF1" s="42">
        <f>VLOOKUP($A$1,$A$6:$BK$59,58,FALSE)</f>
        <v>7371210</v>
      </c>
      <c r="BG1" s="42">
        <f>VLOOKUP($A$1,$A$6:$BK$59,59,FALSE)</f>
        <v>0.5</v>
      </c>
      <c r="BH1" s="42">
        <f>VLOOKUP($A$1,$A$6:$BK$59,60,FALSE)</f>
        <v>7371210.5</v>
      </c>
    </row>
    <row r="2" spans="1:65" ht="13.35" customHeight="1">
      <c r="T2" s="41"/>
      <c r="U2" s="39"/>
      <c r="V2" s="39"/>
    </row>
    <row r="3" spans="1:65" ht="39.6">
      <c r="A3" s="58"/>
      <c r="B3" s="68" t="s">
        <v>138</v>
      </c>
      <c r="C3" s="68" t="s">
        <v>137</v>
      </c>
      <c r="D3" s="68" t="s">
        <v>136</v>
      </c>
      <c r="E3" s="68" t="s">
        <v>135</v>
      </c>
      <c r="F3" s="68" t="s">
        <v>134</v>
      </c>
      <c r="G3" s="68" t="s">
        <v>133</v>
      </c>
      <c r="H3" s="68" t="s">
        <v>132</v>
      </c>
      <c r="I3" s="68" t="s">
        <v>131</v>
      </c>
      <c r="J3" s="68" t="s">
        <v>130</v>
      </c>
      <c r="K3" s="68" t="s">
        <v>129</v>
      </c>
      <c r="L3" s="161" t="s">
        <v>128</v>
      </c>
      <c r="M3" s="161"/>
      <c r="N3" s="161"/>
      <c r="O3" s="161"/>
      <c r="P3" s="161" t="s">
        <v>127</v>
      </c>
      <c r="Q3" s="161"/>
      <c r="R3" s="161"/>
      <c r="S3" s="161"/>
      <c r="T3" s="161" t="s">
        <v>126</v>
      </c>
      <c r="U3" s="161"/>
      <c r="V3" s="161"/>
      <c r="W3" s="161"/>
      <c r="X3" s="161" t="s">
        <v>125</v>
      </c>
      <c r="Y3" s="161"/>
      <c r="Z3" s="161"/>
      <c r="AA3" s="161"/>
      <c r="AB3" s="161" t="s">
        <v>124</v>
      </c>
      <c r="AC3" s="161"/>
      <c r="AD3" s="161"/>
      <c r="AE3" s="69"/>
      <c r="AF3" s="69"/>
      <c r="AG3" s="69"/>
      <c r="AH3" s="161" t="s">
        <v>123</v>
      </c>
      <c r="AI3" s="161"/>
      <c r="AJ3" s="161"/>
      <c r="AK3" s="69"/>
      <c r="AL3" s="69"/>
      <c r="AM3" s="69"/>
      <c r="AN3" s="161" t="s">
        <v>122</v>
      </c>
      <c r="AO3" s="161"/>
      <c r="AP3" s="161"/>
      <c r="AQ3" s="69"/>
      <c r="AR3" s="69"/>
      <c r="AS3" s="69"/>
      <c r="AT3" s="161" t="s">
        <v>121</v>
      </c>
      <c r="AU3" s="161"/>
      <c r="AV3" s="161"/>
      <c r="AW3" s="69"/>
      <c r="AX3" s="69"/>
      <c r="AY3" s="69"/>
      <c r="AZ3" s="161" t="s">
        <v>120</v>
      </c>
      <c r="BA3" s="161"/>
      <c r="BB3" s="161"/>
      <c r="BC3" s="69"/>
      <c r="BD3" s="69"/>
      <c r="BE3" s="69"/>
      <c r="BF3" s="161" t="s">
        <v>119</v>
      </c>
      <c r="BG3" s="161"/>
      <c r="BH3" s="161"/>
      <c r="BI3" s="58"/>
      <c r="BJ3" s="58"/>
      <c r="BK3" s="58"/>
      <c r="BL3" s="58"/>
      <c r="BM3" s="58"/>
    </row>
    <row r="4" spans="1:65" ht="52.8" customHeight="1">
      <c r="A4" s="70"/>
      <c r="B4" s="68"/>
      <c r="C4" s="68"/>
      <c r="D4" s="68"/>
      <c r="E4" s="68"/>
      <c r="F4" s="68"/>
      <c r="G4" s="68"/>
      <c r="H4" s="68"/>
      <c r="I4" s="68"/>
      <c r="J4" s="68"/>
      <c r="K4" s="68"/>
      <c r="L4" s="68" t="s">
        <v>112</v>
      </c>
      <c r="M4" s="68" t="s">
        <v>111</v>
      </c>
      <c r="N4" s="68" t="s">
        <v>118</v>
      </c>
      <c r="O4" s="68" t="s">
        <v>17</v>
      </c>
      <c r="P4" s="68" t="s">
        <v>112</v>
      </c>
      <c r="Q4" s="68" t="s">
        <v>111</v>
      </c>
      <c r="R4" s="68" t="s">
        <v>118</v>
      </c>
      <c r="S4" s="68" t="s">
        <v>17</v>
      </c>
      <c r="T4" s="68" t="s">
        <v>112</v>
      </c>
      <c r="U4" s="68" t="s">
        <v>111</v>
      </c>
      <c r="V4" s="68" t="s">
        <v>118</v>
      </c>
      <c r="W4" s="68" t="s">
        <v>17</v>
      </c>
      <c r="X4" s="68" t="s">
        <v>112</v>
      </c>
      <c r="Y4" s="68" t="s">
        <v>111</v>
      </c>
      <c r="Z4" s="68" t="s">
        <v>118</v>
      </c>
      <c r="AA4" s="68" t="s">
        <v>17</v>
      </c>
      <c r="AB4" s="68" t="s">
        <v>117</v>
      </c>
      <c r="AC4" s="68" t="s">
        <v>116</v>
      </c>
      <c r="AD4" s="68" t="s">
        <v>115</v>
      </c>
      <c r="AE4" s="68" t="s">
        <v>114</v>
      </c>
      <c r="AF4" s="68" t="s">
        <v>113</v>
      </c>
      <c r="AG4" s="68" t="s">
        <v>14</v>
      </c>
      <c r="AH4" s="68" t="s">
        <v>117</v>
      </c>
      <c r="AI4" s="68" t="s">
        <v>116</v>
      </c>
      <c r="AJ4" s="68" t="s">
        <v>115</v>
      </c>
      <c r="AK4" s="68" t="s">
        <v>114</v>
      </c>
      <c r="AL4" s="68" t="s">
        <v>113</v>
      </c>
      <c r="AM4" s="68" t="s">
        <v>14</v>
      </c>
      <c r="AN4" s="68" t="s">
        <v>117</v>
      </c>
      <c r="AO4" s="68" t="s">
        <v>116</v>
      </c>
      <c r="AP4" s="68" t="s">
        <v>115</v>
      </c>
      <c r="AQ4" s="68" t="s">
        <v>114</v>
      </c>
      <c r="AR4" s="68" t="s">
        <v>113</v>
      </c>
      <c r="AS4" s="68" t="s">
        <v>14</v>
      </c>
      <c r="AT4" s="68" t="s">
        <v>117</v>
      </c>
      <c r="AU4" s="68" t="s">
        <v>116</v>
      </c>
      <c r="AV4" s="68" t="s">
        <v>115</v>
      </c>
      <c r="AW4" s="68" t="s">
        <v>114</v>
      </c>
      <c r="AX4" s="68" t="s">
        <v>113</v>
      </c>
      <c r="AY4" s="68" t="s">
        <v>14</v>
      </c>
      <c r="AZ4" s="68" t="s">
        <v>117</v>
      </c>
      <c r="BA4" s="68" t="s">
        <v>116</v>
      </c>
      <c r="BB4" s="68" t="s">
        <v>115</v>
      </c>
      <c r="BC4" s="68" t="s">
        <v>114</v>
      </c>
      <c r="BD4" s="68" t="s">
        <v>113</v>
      </c>
      <c r="BE4" s="68" t="s">
        <v>14</v>
      </c>
      <c r="BF4" s="68" t="s">
        <v>112</v>
      </c>
      <c r="BG4" s="68" t="s">
        <v>111</v>
      </c>
      <c r="BH4" s="68" t="s">
        <v>17</v>
      </c>
      <c r="BI4" s="68" t="s">
        <v>110</v>
      </c>
      <c r="BJ4" s="58"/>
      <c r="BK4" s="58"/>
      <c r="BL4" s="58"/>
      <c r="BM4" s="58"/>
    </row>
    <row r="5" spans="1:65" ht="13.8" customHeight="1">
      <c r="A5" s="71" t="s">
        <v>109</v>
      </c>
      <c r="B5" s="72"/>
      <c r="C5" s="72"/>
      <c r="D5" s="72"/>
      <c r="E5" s="72"/>
      <c r="F5" s="72"/>
      <c r="G5" s="72"/>
      <c r="H5" s="72"/>
      <c r="I5" s="58"/>
      <c r="J5" s="58"/>
      <c r="K5" s="58"/>
      <c r="L5" s="58"/>
      <c r="M5" s="58"/>
      <c r="N5" s="58"/>
      <c r="O5" s="58"/>
      <c r="P5" s="58"/>
      <c r="Q5" s="58"/>
      <c r="R5" s="58"/>
      <c r="S5" s="58"/>
      <c r="T5" s="58"/>
      <c r="U5" s="58"/>
      <c r="V5" s="58"/>
      <c r="W5" s="66"/>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row>
    <row r="6" spans="1:65" ht="51" customHeight="1">
      <c r="A6" s="71" t="s">
        <v>89</v>
      </c>
      <c r="B6" s="73" t="s">
        <v>102</v>
      </c>
      <c r="C6" s="74">
        <v>0.96307991643143076</v>
      </c>
      <c r="D6" s="75" t="s">
        <v>103</v>
      </c>
      <c r="E6" s="76">
        <f t="shared" ref="E6:E16" si="0">K6/J6</f>
        <v>0.88509672240929749</v>
      </c>
      <c r="F6" s="76">
        <f t="shared" ref="F6:F16" si="1">O6/W6</f>
        <v>0.54195429645396342</v>
      </c>
      <c r="G6" s="76">
        <v>0.59352627902916011</v>
      </c>
      <c r="H6" s="77">
        <v>5.1995919073188652</v>
      </c>
      <c r="I6" s="78">
        <v>0.71970000000000001</v>
      </c>
      <c r="J6" s="79">
        <v>210551</v>
      </c>
      <c r="K6" s="79">
        <v>186358</v>
      </c>
      <c r="L6" s="80">
        <v>2967666</v>
      </c>
      <c r="M6" s="80">
        <v>78941996</v>
      </c>
      <c r="N6" s="80">
        <v>163463579</v>
      </c>
      <c r="O6" s="80">
        <f t="shared" ref="O6:O37" si="2">SUM(L6:N6)</f>
        <v>245373241</v>
      </c>
      <c r="P6" s="80">
        <f t="shared" ref="P6:P37" si="3">IFERROR(X6-L6,0)</f>
        <v>1747539</v>
      </c>
      <c r="Q6" s="80">
        <f t="shared" ref="Q6:Q37" si="4">IFERROR(Y6-M6,0)</f>
        <v>51854386</v>
      </c>
      <c r="R6" s="80">
        <f t="shared" ref="R6:R37" si="5">IFERROR(Z6-N6,0)</f>
        <v>61500849</v>
      </c>
      <c r="S6" s="80">
        <f t="shared" ref="S6:S37" si="6">AA6-O6</f>
        <v>115102774</v>
      </c>
      <c r="T6" s="81">
        <v>15391430</v>
      </c>
      <c r="U6" s="81">
        <v>162013446</v>
      </c>
      <c r="V6" s="81">
        <v>275351459</v>
      </c>
      <c r="W6" s="80">
        <f t="shared" ref="W6:W37" si="7">SUM(T6:V6)</f>
        <v>452756335</v>
      </c>
      <c r="X6" s="80">
        <v>4715205</v>
      </c>
      <c r="Y6" s="80">
        <v>130796382</v>
      </c>
      <c r="Z6" s="80">
        <v>224964428</v>
      </c>
      <c r="AA6" s="80">
        <f t="shared" ref="AA6:AA37" si="8">SUM(X6:Z6)</f>
        <v>360476015</v>
      </c>
      <c r="AB6" s="82"/>
      <c r="AC6" s="82"/>
      <c r="AD6" s="82"/>
      <c r="AE6" s="82"/>
      <c r="AF6" s="82"/>
      <c r="AG6" s="82"/>
      <c r="AH6" s="82">
        <v>1</v>
      </c>
      <c r="AI6" s="82"/>
      <c r="AJ6" s="82">
        <v>1</v>
      </c>
      <c r="AK6" s="82"/>
      <c r="AL6" s="82"/>
      <c r="AM6" s="82"/>
      <c r="AN6" s="82"/>
      <c r="AO6" s="82"/>
      <c r="AP6" s="82"/>
      <c r="AQ6" s="82"/>
      <c r="AR6" s="82"/>
      <c r="AS6" s="82"/>
      <c r="AT6" s="82"/>
      <c r="AU6" s="82"/>
      <c r="AV6" s="82"/>
      <c r="AW6" s="82"/>
      <c r="AX6" s="82"/>
      <c r="AY6" s="82"/>
      <c r="AZ6" s="82">
        <f t="shared" ref="AZ6:AZ45" si="9">SUM(AB6,AH6,AN6,AT6)</f>
        <v>1</v>
      </c>
      <c r="BA6" s="82">
        <f t="shared" ref="BA6:BA45" si="10">SUM(AC6,AI6,AO6,AU6)</f>
        <v>0</v>
      </c>
      <c r="BB6" s="82">
        <f t="shared" ref="BB6:BB45" si="11">SUM(AD6,AJ6,AP6,AV6)</f>
        <v>1</v>
      </c>
      <c r="BC6" s="82">
        <f t="shared" ref="BC6:BC45" si="12">SUM(AE6,AK6,AQ6,AW6)</f>
        <v>0</v>
      </c>
      <c r="BD6" s="82">
        <f t="shared" ref="BD6:BD45" si="13">SUM(AF6,AL6,AR6,AX6)</f>
        <v>0</v>
      </c>
      <c r="BE6" s="82">
        <f t="shared" ref="BE6:BE45" si="14">SUM(AG6,AM6,AS6,AY6)</f>
        <v>0</v>
      </c>
      <c r="BF6" s="83">
        <f t="shared" ref="BF6:BF45" si="15">(1-I6)*X6*(AH6+AI6)/(AZ6+BA6)</f>
        <v>1321671.9615</v>
      </c>
      <c r="BG6" s="82">
        <f t="shared" ref="BG6:BG45" si="16">(1-I6)*M6*AJ6/M6*(AJ6)/BB6</f>
        <v>0.28029999999999999</v>
      </c>
      <c r="BH6" s="82">
        <f t="shared" ref="BH6:BH45" si="17">SUM(BF6:BG6)</f>
        <v>1321672.2418</v>
      </c>
      <c r="BI6" s="58">
        <f t="shared" ref="BI6:BI45" si="18">2*(AZ6+BA6+BB6+BC6)+BD6+BE6</f>
        <v>4</v>
      </c>
      <c r="BJ6" s="58"/>
      <c r="BK6" s="84">
        <f t="shared" ref="BK6:BK37" si="19">IF(BL6=A6,0,1)</f>
        <v>0</v>
      </c>
      <c r="BL6" s="58" t="s">
        <v>89</v>
      </c>
      <c r="BM6" s="58">
        <v>70.16</v>
      </c>
    </row>
    <row r="7" spans="1:65" ht="13.8" customHeight="1">
      <c r="A7" s="71" t="s">
        <v>88</v>
      </c>
      <c r="B7" s="73" t="s">
        <v>100</v>
      </c>
      <c r="C7" s="74">
        <v>0.92794678574751144</v>
      </c>
      <c r="D7" s="75">
        <v>1.0372935535428875</v>
      </c>
      <c r="E7" s="76">
        <f t="shared" si="0"/>
        <v>0.92110485140159204</v>
      </c>
      <c r="F7" s="76">
        <f t="shared" si="1"/>
        <v>0.56277283811551648</v>
      </c>
      <c r="G7" s="76">
        <v>0.65339970859640606</v>
      </c>
      <c r="H7" s="77">
        <v>3.843981250089048</v>
      </c>
      <c r="I7" s="78">
        <v>0.5</v>
      </c>
      <c r="J7" s="79">
        <v>43843</v>
      </c>
      <c r="K7" s="79">
        <v>40384</v>
      </c>
      <c r="L7" s="80">
        <v>1947520</v>
      </c>
      <c r="M7" s="80">
        <v>15083859</v>
      </c>
      <c r="N7" s="80">
        <v>42147041</v>
      </c>
      <c r="O7" s="80">
        <f t="shared" si="2"/>
        <v>59178420</v>
      </c>
      <c r="P7" s="80">
        <f t="shared" si="3"/>
        <v>1602132</v>
      </c>
      <c r="Q7" s="80">
        <f t="shared" si="4"/>
        <v>18796119</v>
      </c>
      <c r="R7" s="80">
        <f t="shared" si="5"/>
        <v>16951090</v>
      </c>
      <c r="S7" s="80">
        <f t="shared" si="6"/>
        <v>37349341</v>
      </c>
      <c r="T7" s="81">
        <v>6799332</v>
      </c>
      <c r="U7" s="81">
        <v>31211031</v>
      </c>
      <c r="V7" s="81">
        <v>67144712</v>
      </c>
      <c r="W7" s="80">
        <f t="shared" si="7"/>
        <v>105155075</v>
      </c>
      <c r="X7" s="80">
        <v>3549652</v>
      </c>
      <c r="Y7" s="80">
        <v>33879978</v>
      </c>
      <c r="Z7" s="80">
        <v>59098131</v>
      </c>
      <c r="AA7" s="80">
        <f t="shared" si="8"/>
        <v>96527761</v>
      </c>
      <c r="AB7" s="82"/>
      <c r="AC7" s="82"/>
      <c r="AD7" s="82"/>
      <c r="AE7" s="82"/>
      <c r="AF7" s="82"/>
      <c r="AG7" s="82"/>
      <c r="AH7" s="82">
        <v>1</v>
      </c>
      <c r="AI7" s="82"/>
      <c r="AJ7" s="82">
        <v>1</v>
      </c>
      <c r="AK7" s="82"/>
      <c r="AL7" s="82"/>
      <c r="AM7" s="82"/>
      <c r="AN7" s="82"/>
      <c r="AO7" s="58"/>
      <c r="AP7" s="58"/>
      <c r="AQ7" s="58"/>
      <c r="AR7" s="58"/>
      <c r="AS7" s="58"/>
      <c r="AT7" s="58"/>
      <c r="AU7" s="58"/>
      <c r="AV7" s="58"/>
      <c r="AW7" s="58"/>
      <c r="AX7" s="58"/>
      <c r="AY7" s="58"/>
      <c r="AZ7" s="82">
        <f t="shared" si="9"/>
        <v>1</v>
      </c>
      <c r="BA7" s="82">
        <f t="shared" si="10"/>
        <v>0</v>
      </c>
      <c r="BB7" s="82">
        <f t="shared" si="11"/>
        <v>1</v>
      </c>
      <c r="BC7" s="82">
        <f t="shared" si="12"/>
        <v>0</v>
      </c>
      <c r="BD7" s="82">
        <f t="shared" si="13"/>
        <v>0</v>
      </c>
      <c r="BE7" s="82">
        <f t="shared" si="14"/>
        <v>0</v>
      </c>
      <c r="BF7" s="82">
        <f t="shared" si="15"/>
        <v>1774826</v>
      </c>
      <c r="BG7" s="82">
        <f t="shared" si="16"/>
        <v>0.5</v>
      </c>
      <c r="BH7" s="82">
        <f t="shared" si="17"/>
        <v>1774826.5</v>
      </c>
      <c r="BI7" s="58">
        <f t="shared" si="18"/>
        <v>4</v>
      </c>
      <c r="BJ7" s="58"/>
      <c r="BK7" s="84">
        <f t="shared" si="19"/>
        <v>0</v>
      </c>
      <c r="BL7" s="58" t="s">
        <v>88</v>
      </c>
      <c r="BM7" s="58">
        <v>50</v>
      </c>
    </row>
    <row r="8" spans="1:65" ht="13.8" customHeight="1">
      <c r="A8" s="71" t="s">
        <v>87</v>
      </c>
      <c r="B8" s="73" t="s">
        <v>102</v>
      </c>
      <c r="C8" s="74">
        <v>1.5474772508692758</v>
      </c>
      <c r="D8" s="75" t="s">
        <v>103</v>
      </c>
      <c r="E8" s="76">
        <f t="shared" si="0"/>
        <v>0.90548361112832265</v>
      </c>
      <c r="F8" s="76">
        <f t="shared" si="1"/>
        <v>0.58617699834748549</v>
      </c>
      <c r="G8" s="76">
        <v>0.57737427010736486</v>
      </c>
      <c r="H8" s="77">
        <v>5.2888875551382366</v>
      </c>
      <c r="I8" s="78">
        <v>0.70020000000000004</v>
      </c>
      <c r="J8" s="79">
        <v>161390</v>
      </c>
      <c r="K8" s="79">
        <v>146136</v>
      </c>
      <c r="L8" s="80">
        <v>3513552</v>
      </c>
      <c r="M8" s="80">
        <v>74755785</v>
      </c>
      <c r="N8" s="80">
        <v>126961048</v>
      </c>
      <c r="O8" s="80">
        <f t="shared" si="2"/>
        <v>205230385</v>
      </c>
      <c r="P8" s="80">
        <f t="shared" si="3"/>
        <v>341444</v>
      </c>
      <c r="Q8" s="80">
        <f t="shared" si="4"/>
        <v>50504374</v>
      </c>
      <c r="R8" s="80">
        <f t="shared" si="5"/>
        <v>44423863</v>
      </c>
      <c r="S8" s="80">
        <f t="shared" si="6"/>
        <v>95269681</v>
      </c>
      <c r="T8" s="81">
        <v>8593238</v>
      </c>
      <c r="U8" s="81">
        <v>139652066</v>
      </c>
      <c r="V8" s="81">
        <v>201871445</v>
      </c>
      <c r="W8" s="80">
        <f t="shared" si="7"/>
        <v>350116749</v>
      </c>
      <c r="X8" s="80">
        <v>3854996</v>
      </c>
      <c r="Y8" s="80">
        <v>125260159</v>
      </c>
      <c r="Z8" s="80">
        <v>171384911</v>
      </c>
      <c r="AA8" s="80">
        <f t="shared" si="8"/>
        <v>300500066</v>
      </c>
      <c r="AB8" s="82"/>
      <c r="AC8" s="82"/>
      <c r="AD8" s="82"/>
      <c r="AE8" s="82"/>
      <c r="AF8" s="82"/>
      <c r="AG8" s="82"/>
      <c r="AH8" s="82">
        <v>1</v>
      </c>
      <c r="AI8" s="82"/>
      <c r="AJ8" s="82">
        <v>1</v>
      </c>
      <c r="AK8" s="82"/>
      <c r="AL8" s="82"/>
      <c r="AM8" s="82"/>
      <c r="AN8" s="82"/>
      <c r="AO8" s="58"/>
      <c r="AP8" s="58"/>
      <c r="AQ8" s="58"/>
      <c r="AR8" s="58"/>
      <c r="AS8" s="58"/>
      <c r="AT8" s="58"/>
      <c r="AU8" s="58"/>
      <c r="AV8" s="58"/>
      <c r="AW8" s="58"/>
      <c r="AX8" s="58"/>
      <c r="AY8" s="58"/>
      <c r="AZ8" s="82">
        <f t="shared" si="9"/>
        <v>1</v>
      </c>
      <c r="BA8" s="82">
        <f t="shared" si="10"/>
        <v>0</v>
      </c>
      <c r="BB8" s="82">
        <f t="shared" si="11"/>
        <v>1</v>
      </c>
      <c r="BC8" s="82">
        <f t="shared" si="12"/>
        <v>0</v>
      </c>
      <c r="BD8" s="82">
        <f t="shared" si="13"/>
        <v>0</v>
      </c>
      <c r="BE8" s="82">
        <f t="shared" si="14"/>
        <v>0</v>
      </c>
      <c r="BF8" s="82">
        <f t="shared" si="15"/>
        <v>1155727.8007999999</v>
      </c>
      <c r="BG8" s="82">
        <f t="shared" si="16"/>
        <v>0.29979999999999996</v>
      </c>
      <c r="BH8" s="82">
        <f t="shared" si="17"/>
        <v>1155728.1005999998</v>
      </c>
      <c r="BI8" s="58">
        <f t="shared" si="18"/>
        <v>4</v>
      </c>
      <c r="BJ8" s="58"/>
      <c r="BK8" s="84">
        <f t="shared" si="19"/>
        <v>0</v>
      </c>
      <c r="BL8" s="58" t="s">
        <v>87</v>
      </c>
      <c r="BM8" s="58">
        <v>69.239999999999995</v>
      </c>
    </row>
    <row r="9" spans="1:65" ht="13.8" customHeight="1">
      <c r="A9" s="71" t="s">
        <v>86</v>
      </c>
      <c r="B9" s="73" t="s">
        <v>102</v>
      </c>
      <c r="C9" s="74">
        <v>1.0089907935352556</v>
      </c>
      <c r="D9" s="75" t="s">
        <v>103</v>
      </c>
      <c r="E9" s="76">
        <f t="shared" si="0"/>
        <v>0.92048910746136314</v>
      </c>
      <c r="F9" s="76">
        <f t="shared" si="1"/>
        <v>0.65428968776399055</v>
      </c>
      <c r="G9" s="76">
        <v>0.6988969395479615</v>
      </c>
      <c r="H9" s="77">
        <v>5.0582360870232099</v>
      </c>
      <c r="I9" s="78">
        <v>0.71419999999999995</v>
      </c>
      <c r="J9" s="79">
        <v>96993</v>
      </c>
      <c r="K9" s="79">
        <v>89281</v>
      </c>
      <c r="L9" s="80">
        <v>2645443</v>
      </c>
      <c r="M9" s="80">
        <v>35996220</v>
      </c>
      <c r="N9" s="80">
        <v>135866651</v>
      </c>
      <c r="O9" s="80">
        <f t="shared" si="2"/>
        <v>174508314</v>
      </c>
      <c r="P9" s="80">
        <f t="shared" si="3"/>
        <v>703413</v>
      </c>
      <c r="Q9" s="80">
        <f t="shared" si="4"/>
        <v>21244323</v>
      </c>
      <c r="R9" s="80">
        <f t="shared" si="5"/>
        <v>41295905</v>
      </c>
      <c r="S9" s="80">
        <f t="shared" si="6"/>
        <v>63243641</v>
      </c>
      <c r="T9" s="81">
        <v>7824066</v>
      </c>
      <c r="U9" s="81">
        <v>62187546</v>
      </c>
      <c r="V9" s="81">
        <v>196702532</v>
      </c>
      <c r="W9" s="80">
        <f t="shared" si="7"/>
        <v>266714144</v>
      </c>
      <c r="X9" s="80">
        <v>3348856</v>
      </c>
      <c r="Y9" s="80">
        <v>57240543</v>
      </c>
      <c r="Z9" s="80">
        <v>177162556</v>
      </c>
      <c r="AA9" s="80">
        <f t="shared" si="8"/>
        <v>237751955</v>
      </c>
      <c r="AB9" s="82"/>
      <c r="AC9" s="82"/>
      <c r="AD9" s="82"/>
      <c r="AE9" s="82"/>
      <c r="AF9" s="82"/>
      <c r="AG9" s="82"/>
      <c r="AH9" s="82">
        <v>1</v>
      </c>
      <c r="AI9" s="82"/>
      <c r="AJ9" s="82">
        <v>1</v>
      </c>
      <c r="AK9" s="82"/>
      <c r="AL9" s="82"/>
      <c r="AM9" s="82"/>
      <c r="AN9" s="82"/>
      <c r="AO9" s="58"/>
      <c r="AP9" s="58"/>
      <c r="AQ9" s="58"/>
      <c r="AR9" s="58"/>
      <c r="AS9" s="58"/>
      <c r="AT9" s="58"/>
      <c r="AU9" s="58"/>
      <c r="AV9" s="58"/>
      <c r="AW9" s="58"/>
      <c r="AX9" s="58"/>
      <c r="AY9" s="58"/>
      <c r="AZ9" s="82">
        <f t="shared" si="9"/>
        <v>1</v>
      </c>
      <c r="BA9" s="82">
        <f t="shared" si="10"/>
        <v>0</v>
      </c>
      <c r="BB9" s="82">
        <f t="shared" si="11"/>
        <v>1</v>
      </c>
      <c r="BC9" s="82">
        <f t="shared" si="12"/>
        <v>0</v>
      </c>
      <c r="BD9" s="82">
        <f t="shared" si="13"/>
        <v>0</v>
      </c>
      <c r="BE9" s="82">
        <f t="shared" si="14"/>
        <v>0</v>
      </c>
      <c r="BF9" s="82">
        <f t="shared" si="15"/>
        <v>957103.04480000015</v>
      </c>
      <c r="BG9" s="82">
        <f t="shared" si="16"/>
        <v>0.28580000000000005</v>
      </c>
      <c r="BH9" s="82">
        <f t="shared" si="17"/>
        <v>957103.3306000001</v>
      </c>
      <c r="BI9" s="58">
        <f t="shared" si="18"/>
        <v>4</v>
      </c>
      <c r="BJ9" s="58"/>
      <c r="BK9" s="84">
        <f t="shared" si="19"/>
        <v>0</v>
      </c>
      <c r="BL9" s="58" t="s">
        <v>86</v>
      </c>
      <c r="BM9" s="58">
        <v>69.69</v>
      </c>
    </row>
    <row r="10" spans="1:65" ht="14.4" customHeight="1">
      <c r="A10" s="71" t="s">
        <v>85</v>
      </c>
      <c r="B10" s="73" t="s">
        <v>100</v>
      </c>
      <c r="C10" s="74">
        <v>1.0182118772618554</v>
      </c>
      <c r="D10" s="75">
        <v>0.93591827655242044</v>
      </c>
      <c r="E10" s="76">
        <f t="shared" si="0"/>
        <v>0.9155792849374309</v>
      </c>
      <c r="F10" s="76">
        <f t="shared" si="1"/>
        <v>0.66497461075608333</v>
      </c>
      <c r="G10" s="76">
        <v>0.66783708274084663</v>
      </c>
      <c r="H10" s="77">
        <v>2.5238382096696457</v>
      </c>
      <c r="I10" s="78">
        <v>0.5</v>
      </c>
      <c r="J10" s="79">
        <v>1163115</v>
      </c>
      <c r="K10" s="79">
        <v>1064924</v>
      </c>
      <c r="L10" s="80">
        <v>153241274</v>
      </c>
      <c r="M10" s="80">
        <v>677010251</v>
      </c>
      <c r="N10" s="80">
        <v>777347457</v>
      </c>
      <c r="O10" s="80">
        <f t="shared" si="2"/>
        <v>1607598982</v>
      </c>
      <c r="P10" s="80">
        <f t="shared" si="3"/>
        <v>80198943</v>
      </c>
      <c r="Q10" s="80">
        <f t="shared" si="4"/>
        <v>511786709</v>
      </c>
      <c r="R10" s="80">
        <f t="shared" si="5"/>
        <v>268101396</v>
      </c>
      <c r="S10" s="80">
        <f t="shared" si="6"/>
        <v>860087048</v>
      </c>
      <c r="T10" s="81">
        <v>358560489</v>
      </c>
      <c r="U10" s="81">
        <v>1025031810</v>
      </c>
      <c r="V10" s="81">
        <v>1033942079</v>
      </c>
      <c r="W10" s="80">
        <f t="shared" si="7"/>
        <v>2417534378</v>
      </c>
      <c r="X10" s="80">
        <v>233440217</v>
      </c>
      <c r="Y10" s="80">
        <v>1188796960</v>
      </c>
      <c r="Z10" s="80">
        <v>1045448853</v>
      </c>
      <c r="AA10" s="80">
        <f t="shared" si="8"/>
        <v>2467686030</v>
      </c>
      <c r="AB10" s="82"/>
      <c r="AC10" s="82"/>
      <c r="AD10" s="82"/>
      <c r="AE10" s="82"/>
      <c r="AF10" s="82"/>
      <c r="AG10" s="82"/>
      <c r="AH10" s="82">
        <v>1</v>
      </c>
      <c r="AI10" s="82"/>
      <c r="AJ10" s="82">
        <v>1</v>
      </c>
      <c r="AK10" s="82"/>
      <c r="AL10" s="82"/>
      <c r="AM10" s="82"/>
      <c r="AN10" s="82"/>
      <c r="AO10" s="58"/>
      <c r="AP10" s="58"/>
      <c r="AQ10" s="58"/>
      <c r="AR10" s="58"/>
      <c r="AS10" s="58"/>
      <c r="AT10" s="58"/>
      <c r="AU10" s="58"/>
      <c r="AV10" s="58"/>
      <c r="AW10" s="58"/>
      <c r="AX10" s="58"/>
      <c r="AY10" s="58"/>
      <c r="AZ10" s="82">
        <f t="shared" si="9"/>
        <v>1</v>
      </c>
      <c r="BA10" s="82">
        <f t="shared" si="10"/>
        <v>0</v>
      </c>
      <c r="BB10" s="82">
        <f t="shared" si="11"/>
        <v>1</v>
      </c>
      <c r="BC10" s="82">
        <f t="shared" si="12"/>
        <v>0</v>
      </c>
      <c r="BD10" s="82">
        <f t="shared" si="13"/>
        <v>0</v>
      </c>
      <c r="BE10" s="82">
        <f t="shared" si="14"/>
        <v>0</v>
      </c>
      <c r="BF10" s="82">
        <f t="shared" si="15"/>
        <v>116720108.5</v>
      </c>
      <c r="BG10" s="82">
        <f t="shared" si="16"/>
        <v>0.5</v>
      </c>
      <c r="BH10" s="82">
        <f t="shared" si="17"/>
        <v>116720109</v>
      </c>
      <c r="BI10" s="58">
        <f t="shared" si="18"/>
        <v>4</v>
      </c>
      <c r="BJ10" s="58"/>
      <c r="BK10" s="84">
        <f t="shared" si="19"/>
        <v>0</v>
      </c>
      <c r="BL10" s="58" t="s">
        <v>85</v>
      </c>
      <c r="BM10" s="58">
        <v>50</v>
      </c>
    </row>
    <row r="11" spans="1:65" ht="13.8">
      <c r="A11" s="71" t="s">
        <v>84</v>
      </c>
      <c r="B11" s="73" t="s">
        <v>100</v>
      </c>
      <c r="C11" s="74">
        <v>0.91631307024293718</v>
      </c>
      <c r="D11" s="75">
        <v>1.0856451734825006</v>
      </c>
      <c r="E11" s="76">
        <f t="shared" si="0"/>
        <v>0.88710356780345667</v>
      </c>
      <c r="F11" s="76">
        <f t="shared" si="1"/>
        <v>0.6448811908409805</v>
      </c>
      <c r="G11" s="76">
        <v>0.67472091485472019</v>
      </c>
      <c r="H11" s="77">
        <v>4.2246345929121016</v>
      </c>
      <c r="I11" s="78">
        <v>0.5</v>
      </c>
      <c r="J11" s="79">
        <v>144823</v>
      </c>
      <c r="K11" s="79">
        <v>128473</v>
      </c>
      <c r="L11" s="80">
        <v>9058392</v>
      </c>
      <c r="M11" s="80">
        <v>62847486</v>
      </c>
      <c r="N11" s="80">
        <v>185451738</v>
      </c>
      <c r="O11" s="80">
        <f t="shared" si="2"/>
        <v>257357616</v>
      </c>
      <c r="P11" s="80">
        <f t="shared" si="3"/>
        <v>9281122</v>
      </c>
      <c r="Q11" s="80">
        <f t="shared" si="4"/>
        <v>24334842</v>
      </c>
      <c r="R11" s="80">
        <f t="shared" si="5"/>
        <v>49572454</v>
      </c>
      <c r="S11" s="80">
        <f t="shared" si="6"/>
        <v>83188418</v>
      </c>
      <c r="T11" s="81">
        <v>26418552</v>
      </c>
      <c r="U11" s="81">
        <v>103393438</v>
      </c>
      <c r="V11" s="81">
        <v>269265576</v>
      </c>
      <c r="W11" s="80">
        <f t="shared" si="7"/>
        <v>399077566</v>
      </c>
      <c r="X11" s="80">
        <v>18339514</v>
      </c>
      <c r="Y11" s="80">
        <v>87182328</v>
      </c>
      <c r="Z11" s="80">
        <v>235024192</v>
      </c>
      <c r="AA11" s="80">
        <f t="shared" si="8"/>
        <v>340546034</v>
      </c>
      <c r="AB11" s="82"/>
      <c r="AC11" s="82"/>
      <c r="AD11" s="82"/>
      <c r="AE11" s="82"/>
      <c r="AF11" s="82"/>
      <c r="AG11" s="82"/>
      <c r="AH11" s="82">
        <v>1</v>
      </c>
      <c r="AI11" s="82"/>
      <c r="AJ11" s="82">
        <v>1</v>
      </c>
      <c r="AK11" s="82"/>
      <c r="AL11" s="82"/>
      <c r="AM11" s="82"/>
      <c r="AN11" s="82"/>
      <c r="AO11" s="58"/>
      <c r="AP11" s="58"/>
      <c r="AQ11" s="58"/>
      <c r="AR11" s="58"/>
      <c r="AS11" s="58"/>
      <c r="AT11" s="58"/>
      <c r="AU11" s="58"/>
      <c r="AV11" s="58"/>
      <c r="AW11" s="58"/>
      <c r="AX11" s="58"/>
      <c r="AY11" s="58"/>
      <c r="AZ11" s="82">
        <f t="shared" si="9"/>
        <v>1</v>
      </c>
      <c r="BA11" s="82">
        <f t="shared" si="10"/>
        <v>0</v>
      </c>
      <c r="BB11" s="82">
        <f t="shared" si="11"/>
        <v>1</v>
      </c>
      <c r="BC11" s="82">
        <f t="shared" si="12"/>
        <v>0</v>
      </c>
      <c r="BD11" s="82">
        <f t="shared" si="13"/>
        <v>0</v>
      </c>
      <c r="BE11" s="82">
        <f t="shared" si="14"/>
        <v>0</v>
      </c>
      <c r="BF11" s="82">
        <f t="shared" si="15"/>
        <v>9169757</v>
      </c>
      <c r="BG11" s="82">
        <f t="shared" si="16"/>
        <v>0.5</v>
      </c>
      <c r="BH11" s="82">
        <f t="shared" si="17"/>
        <v>9169757.5</v>
      </c>
      <c r="BI11" s="58">
        <f t="shared" si="18"/>
        <v>4</v>
      </c>
      <c r="BJ11" s="58"/>
      <c r="BK11" s="84">
        <f t="shared" si="19"/>
        <v>0</v>
      </c>
      <c r="BL11" s="58" t="s">
        <v>84</v>
      </c>
      <c r="BM11" s="58">
        <v>50.02</v>
      </c>
    </row>
    <row r="12" spans="1:65" ht="13.8">
      <c r="A12" s="71" t="s">
        <v>83</v>
      </c>
      <c r="B12" s="73" t="s">
        <v>102</v>
      </c>
      <c r="C12" s="74">
        <v>0.9853186829503694</v>
      </c>
      <c r="D12" s="75">
        <v>0.92163246763080187</v>
      </c>
      <c r="E12" s="76">
        <f t="shared" si="0"/>
        <v>0.93898931934692054</v>
      </c>
      <c r="F12" s="76">
        <f t="shared" si="1"/>
        <v>0.61405219092243257</v>
      </c>
      <c r="G12" s="76">
        <v>0.59876782169655141</v>
      </c>
      <c r="H12" s="77">
        <v>3.2295310931623455</v>
      </c>
      <c r="I12" s="78">
        <v>0.5</v>
      </c>
      <c r="J12" s="79">
        <v>151957</v>
      </c>
      <c r="K12" s="79">
        <v>142686</v>
      </c>
      <c r="L12" s="80">
        <v>4684824</v>
      </c>
      <c r="M12" s="80">
        <v>69685594</v>
      </c>
      <c r="N12" s="80">
        <v>92499310</v>
      </c>
      <c r="O12" s="80">
        <f t="shared" si="2"/>
        <v>166869728</v>
      </c>
      <c r="P12" s="80">
        <f t="shared" si="3"/>
        <v>2833534</v>
      </c>
      <c r="Q12" s="80">
        <f t="shared" si="4"/>
        <v>49150430</v>
      </c>
      <c r="R12" s="80">
        <f t="shared" si="5"/>
        <v>27760188</v>
      </c>
      <c r="S12" s="80">
        <f t="shared" si="6"/>
        <v>79744152</v>
      </c>
      <c r="T12" s="81">
        <v>17939946</v>
      </c>
      <c r="U12" s="81">
        <v>122896282</v>
      </c>
      <c r="V12" s="81">
        <v>130915474</v>
      </c>
      <c r="W12" s="80">
        <f t="shared" si="7"/>
        <v>271751702</v>
      </c>
      <c r="X12" s="80">
        <v>7518358</v>
      </c>
      <c r="Y12" s="80">
        <v>118836024</v>
      </c>
      <c r="Z12" s="80">
        <v>120259498</v>
      </c>
      <c r="AA12" s="80">
        <f t="shared" si="8"/>
        <v>246613880</v>
      </c>
      <c r="AB12" s="82"/>
      <c r="AC12" s="82"/>
      <c r="AD12" s="82"/>
      <c r="AE12" s="82"/>
      <c r="AF12" s="82"/>
      <c r="AG12" s="82"/>
      <c r="AH12" s="82">
        <v>1</v>
      </c>
      <c r="AI12" s="82"/>
      <c r="AJ12" s="82">
        <v>1</v>
      </c>
      <c r="AK12" s="82"/>
      <c r="AL12" s="82"/>
      <c r="AM12" s="82"/>
      <c r="AN12" s="82"/>
      <c r="AO12" s="58"/>
      <c r="AP12" s="58"/>
      <c r="AQ12" s="58"/>
      <c r="AR12" s="58"/>
      <c r="AS12" s="58"/>
      <c r="AT12" s="58"/>
      <c r="AU12" s="58"/>
      <c r="AV12" s="58"/>
      <c r="AW12" s="58"/>
      <c r="AX12" s="58"/>
      <c r="AY12" s="58"/>
      <c r="AZ12" s="82">
        <f t="shared" si="9"/>
        <v>1</v>
      </c>
      <c r="BA12" s="82">
        <f t="shared" si="10"/>
        <v>0</v>
      </c>
      <c r="BB12" s="82">
        <f t="shared" si="11"/>
        <v>1</v>
      </c>
      <c r="BC12" s="82">
        <f t="shared" si="12"/>
        <v>0</v>
      </c>
      <c r="BD12" s="82">
        <f t="shared" si="13"/>
        <v>0</v>
      </c>
      <c r="BE12" s="82">
        <f t="shared" si="14"/>
        <v>0</v>
      </c>
      <c r="BF12" s="82">
        <f t="shared" si="15"/>
        <v>3759179</v>
      </c>
      <c r="BG12" s="82">
        <f t="shared" si="16"/>
        <v>0.5</v>
      </c>
      <c r="BH12" s="82">
        <f t="shared" si="17"/>
        <v>3759179.5</v>
      </c>
      <c r="BI12" s="58">
        <f t="shared" si="18"/>
        <v>4</v>
      </c>
      <c r="BJ12" s="58"/>
      <c r="BK12" s="84">
        <f t="shared" si="19"/>
        <v>0</v>
      </c>
      <c r="BL12" s="58" t="s">
        <v>83</v>
      </c>
      <c r="BM12" s="58">
        <v>50</v>
      </c>
    </row>
    <row r="13" spans="1:65" ht="13.8">
      <c r="A13" s="71" t="s">
        <v>82</v>
      </c>
      <c r="B13" s="73" t="s">
        <v>102</v>
      </c>
      <c r="C13" s="74">
        <v>0.82606386795837816</v>
      </c>
      <c r="D13" s="75" t="s">
        <v>103</v>
      </c>
      <c r="E13" s="76">
        <f t="shared" si="0"/>
        <v>0.75329116948108288</v>
      </c>
      <c r="F13" s="76">
        <f t="shared" si="1"/>
        <v>0.59722963794771144</v>
      </c>
      <c r="G13" s="76">
        <v>0.55971636464754138</v>
      </c>
      <c r="H13" s="77">
        <v>2.7520432098577792</v>
      </c>
      <c r="I13" s="78">
        <v>0.5786</v>
      </c>
      <c r="J13" s="79">
        <v>79531</v>
      </c>
      <c r="K13" s="79">
        <v>59910</v>
      </c>
      <c r="L13" s="80">
        <v>2075141</v>
      </c>
      <c r="M13" s="80">
        <v>9237340</v>
      </c>
      <c r="N13" s="80">
        <v>46765965</v>
      </c>
      <c r="O13" s="80">
        <f t="shared" si="2"/>
        <v>58078446</v>
      </c>
      <c r="P13" s="80">
        <f t="shared" si="3"/>
        <v>1128378</v>
      </c>
      <c r="Q13" s="80">
        <f t="shared" si="4"/>
        <v>7625647</v>
      </c>
      <c r="R13" s="80">
        <f t="shared" si="5"/>
        <v>12344563</v>
      </c>
      <c r="S13" s="80">
        <f t="shared" si="6"/>
        <v>21098588</v>
      </c>
      <c r="T13" s="81">
        <v>6400152</v>
      </c>
      <c r="U13" s="81">
        <v>17890322</v>
      </c>
      <c r="V13" s="81">
        <v>72955949</v>
      </c>
      <c r="W13" s="80">
        <f t="shared" si="7"/>
        <v>97246423</v>
      </c>
      <c r="X13" s="80">
        <v>3203519</v>
      </c>
      <c r="Y13" s="80">
        <v>16862987</v>
      </c>
      <c r="Z13" s="80">
        <v>59110528</v>
      </c>
      <c r="AA13" s="80">
        <f t="shared" si="8"/>
        <v>79177034</v>
      </c>
      <c r="AB13" s="82"/>
      <c r="AC13" s="82"/>
      <c r="AD13" s="82"/>
      <c r="AE13" s="82"/>
      <c r="AF13" s="82"/>
      <c r="AG13" s="82"/>
      <c r="AH13" s="82">
        <v>1</v>
      </c>
      <c r="AI13" s="82"/>
      <c r="AJ13" s="82">
        <v>1</v>
      </c>
      <c r="AK13" s="82"/>
      <c r="AL13" s="82"/>
      <c r="AM13" s="82"/>
      <c r="AN13" s="82"/>
      <c r="AO13" s="58"/>
      <c r="AP13" s="58"/>
      <c r="AQ13" s="58"/>
      <c r="AR13" s="58"/>
      <c r="AS13" s="58"/>
      <c r="AT13" s="58"/>
      <c r="AU13" s="58"/>
      <c r="AV13" s="58"/>
      <c r="AW13" s="58"/>
      <c r="AX13" s="58"/>
      <c r="AY13" s="58"/>
      <c r="AZ13" s="82">
        <f t="shared" si="9"/>
        <v>1</v>
      </c>
      <c r="BA13" s="82">
        <f t="shared" si="10"/>
        <v>0</v>
      </c>
      <c r="BB13" s="82">
        <f t="shared" si="11"/>
        <v>1</v>
      </c>
      <c r="BC13" s="82">
        <f t="shared" si="12"/>
        <v>0</v>
      </c>
      <c r="BD13" s="82">
        <f t="shared" si="13"/>
        <v>0</v>
      </c>
      <c r="BE13" s="82">
        <f t="shared" si="14"/>
        <v>0</v>
      </c>
      <c r="BF13" s="82">
        <f t="shared" si="15"/>
        <v>1349962.9066000001</v>
      </c>
      <c r="BG13" s="82">
        <f t="shared" si="16"/>
        <v>0.4214</v>
      </c>
      <c r="BH13" s="82">
        <f t="shared" si="17"/>
        <v>1349963.3280000002</v>
      </c>
      <c r="BI13" s="58">
        <f t="shared" si="18"/>
        <v>4</v>
      </c>
      <c r="BJ13" s="58"/>
      <c r="BK13" s="84">
        <f t="shared" si="19"/>
        <v>0</v>
      </c>
      <c r="BL13" s="58" t="s">
        <v>82</v>
      </c>
      <c r="BM13" s="58">
        <v>54.2</v>
      </c>
    </row>
    <row r="14" spans="1:65" ht="13.8">
      <c r="A14" s="71" t="s">
        <v>108</v>
      </c>
      <c r="B14" s="73" t="s">
        <v>100</v>
      </c>
      <c r="C14" s="74">
        <v>0.74825273761353672</v>
      </c>
      <c r="D14" s="75">
        <v>0.71311733249449516</v>
      </c>
      <c r="E14" s="76">
        <f t="shared" si="0"/>
        <v>0.78990402534476334</v>
      </c>
      <c r="F14" s="76">
        <f t="shared" si="1"/>
        <v>0.61858019145116949</v>
      </c>
      <c r="G14" s="76">
        <v>0.57618994537955637</v>
      </c>
      <c r="H14" s="77">
        <v>2.0116860187787418</v>
      </c>
      <c r="I14" s="78">
        <v>0.7</v>
      </c>
      <c r="J14" s="79">
        <v>42928</v>
      </c>
      <c r="K14" s="79">
        <v>33909</v>
      </c>
      <c r="L14" s="80">
        <v>2672139</v>
      </c>
      <c r="M14" s="80">
        <v>18498871</v>
      </c>
      <c r="N14" s="80">
        <v>15683931</v>
      </c>
      <c r="O14" s="80">
        <f t="shared" si="2"/>
        <v>36854941</v>
      </c>
      <c r="P14" s="80">
        <f t="shared" si="3"/>
        <v>1270541</v>
      </c>
      <c r="Q14" s="80">
        <f t="shared" si="4"/>
        <v>8398321</v>
      </c>
      <c r="R14" s="80">
        <f t="shared" si="5"/>
        <v>4334656</v>
      </c>
      <c r="S14" s="80">
        <f t="shared" si="6"/>
        <v>14003518</v>
      </c>
      <c r="T14" s="81">
        <v>6088511</v>
      </c>
      <c r="U14" s="81">
        <v>29747094</v>
      </c>
      <c r="V14" s="81">
        <v>23744287</v>
      </c>
      <c r="W14" s="80">
        <f t="shared" si="7"/>
        <v>59579892</v>
      </c>
      <c r="X14" s="80">
        <v>3942680</v>
      </c>
      <c r="Y14" s="80">
        <v>26897192</v>
      </c>
      <c r="Z14" s="80">
        <v>20018587</v>
      </c>
      <c r="AA14" s="80">
        <f t="shared" si="8"/>
        <v>50858459</v>
      </c>
      <c r="AB14" s="82"/>
      <c r="AC14" s="82"/>
      <c r="AD14" s="82"/>
      <c r="AE14" s="82"/>
      <c r="AF14" s="82"/>
      <c r="AG14" s="82"/>
      <c r="AH14" s="82">
        <v>1</v>
      </c>
      <c r="AI14" s="82"/>
      <c r="AJ14" s="82">
        <v>1</v>
      </c>
      <c r="AK14" s="82"/>
      <c r="AL14" s="82"/>
      <c r="AM14" s="82"/>
      <c r="AN14" s="82"/>
      <c r="AO14" s="58"/>
      <c r="AP14" s="58"/>
      <c r="AQ14" s="58"/>
      <c r="AR14" s="58"/>
      <c r="AS14" s="58"/>
      <c r="AT14" s="58"/>
      <c r="AU14" s="58"/>
      <c r="AV14" s="58"/>
      <c r="AW14" s="58"/>
      <c r="AX14" s="58"/>
      <c r="AY14" s="58"/>
      <c r="AZ14" s="82">
        <f t="shared" si="9"/>
        <v>1</v>
      </c>
      <c r="BA14" s="82">
        <f t="shared" si="10"/>
        <v>0</v>
      </c>
      <c r="BB14" s="82">
        <f t="shared" si="11"/>
        <v>1</v>
      </c>
      <c r="BC14" s="82">
        <f t="shared" si="12"/>
        <v>0</v>
      </c>
      <c r="BD14" s="82">
        <f t="shared" si="13"/>
        <v>0</v>
      </c>
      <c r="BE14" s="82">
        <f t="shared" si="14"/>
        <v>0</v>
      </c>
      <c r="BF14" s="82">
        <f t="shared" si="15"/>
        <v>1182804.0000000002</v>
      </c>
      <c r="BG14" s="82">
        <f t="shared" si="16"/>
        <v>0.30000000000000004</v>
      </c>
      <c r="BH14" s="82">
        <f t="shared" si="17"/>
        <v>1182804.3000000003</v>
      </c>
      <c r="BI14" s="58">
        <f t="shared" si="18"/>
        <v>4</v>
      </c>
      <c r="BJ14" s="58"/>
      <c r="BK14" s="84">
        <f t="shared" si="19"/>
        <v>1</v>
      </c>
      <c r="BL14" s="58" t="s">
        <v>107</v>
      </c>
      <c r="BM14" s="58">
        <v>70</v>
      </c>
    </row>
    <row r="15" spans="1:65" ht="13.8">
      <c r="A15" s="71" t="s">
        <v>80</v>
      </c>
      <c r="B15" s="73" t="s">
        <v>100</v>
      </c>
      <c r="C15" s="74">
        <v>0.91650176632942582</v>
      </c>
      <c r="D15" s="75">
        <v>0.91609794882959283</v>
      </c>
      <c r="E15" s="76">
        <f t="shared" si="0"/>
        <v>0.82096245820198288</v>
      </c>
      <c r="F15" s="76">
        <f t="shared" si="1"/>
        <v>0.63114266949282838</v>
      </c>
      <c r="G15" s="76">
        <v>0.69961637377604502</v>
      </c>
      <c r="H15" s="77">
        <v>6.1795158187239236</v>
      </c>
      <c r="I15" s="78">
        <v>0.61470000000000002</v>
      </c>
      <c r="J15" s="79">
        <v>647758</v>
      </c>
      <c r="K15" s="79">
        <v>531785</v>
      </c>
      <c r="L15" s="80">
        <v>18827352</v>
      </c>
      <c r="M15" s="80">
        <v>264107122</v>
      </c>
      <c r="N15" s="80">
        <v>833114714</v>
      </c>
      <c r="O15" s="80">
        <f t="shared" si="2"/>
        <v>1116049188</v>
      </c>
      <c r="P15" s="80">
        <f t="shared" si="3"/>
        <v>7534413</v>
      </c>
      <c r="Q15" s="80">
        <f t="shared" si="4"/>
        <v>181864074</v>
      </c>
      <c r="R15" s="80">
        <f t="shared" si="5"/>
        <v>257917460</v>
      </c>
      <c r="S15" s="80">
        <f t="shared" si="6"/>
        <v>447315947</v>
      </c>
      <c r="T15" s="81">
        <v>68176754</v>
      </c>
      <c r="U15" s="81">
        <v>464279762</v>
      </c>
      <c r="V15" s="81">
        <v>1235842859</v>
      </c>
      <c r="W15" s="80">
        <f t="shared" si="7"/>
        <v>1768299375</v>
      </c>
      <c r="X15" s="80">
        <v>26361765</v>
      </c>
      <c r="Y15" s="80">
        <v>445971196</v>
      </c>
      <c r="Z15" s="80">
        <v>1091032174</v>
      </c>
      <c r="AA15" s="80">
        <f t="shared" si="8"/>
        <v>1563365135</v>
      </c>
      <c r="AB15" s="82"/>
      <c r="AC15" s="82"/>
      <c r="AD15" s="82"/>
      <c r="AE15" s="82"/>
      <c r="AF15" s="82"/>
      <c r="AG15" s="82"/>
      <c r="AH15" s="82">
        <v>1</v>
      </c>
      <c r="AI15" s="82"/>
      <c r="AJ15" s="82">
        <v>1</v>
      </c>
      <c r="AK15" s="82"/>
      <c r="AL15" s="82"/>
      <c r="AM15" s="82"/>
      <c r="AN15" s="82"/>
      <c r="AO15" s="58"/>
      <c r="AP15" s="58"/>
      <c r="AQ15" s="58"/>
      <c r="AR15" s="58"/>
      <c r="AS15" s="58"/>
      <c r="AT15" s="58"/>
      <c r="AU15" s="58"/>
      <c r="AV15" s="58"/>
      <c r="AW15" s="58"/>
      <c r="AX15" s="58"/>
      <c r="AY15" s="58"/>
      <c r="AZ15" s="82">
        <f t="shared" si="9"/>
        <v>1</v>
      </c>
      <c r="BA15" s="82">
        <f t="shared" si="10"/>
        <v>0</v>
      </c>
      <c r="BB15" s="82">
        <f t="shared" si="11"/>
        <v>1</v>
      </c>
      <c r="BC15" s="82">
        <f t="shared" si="12"/>
        <v>0</v>
      </c>
      <c r="BD15" s="82">
        <f t="shared" si="13"/>
        <v>0</v>
      </c>
      <c r="BE15" s="82">
        <f t="shared" si="14"/>
        <v>0</v>
      </c>
      <c r="BF15" s="82">
        <f t="shared" si="15"/>
        <v>10157188.054499999</v>
      </c>
      <c r="BG15" s="82">
        <f t="shared" si="16"/>
        <v>0.38529999999999998</v>
      </c>
      <c r="BH15" s="82">
        <f t="shared" si="17"/>
        <v>10157188.439799998</v>
      </c>
      <c r="BI15" s="58">
        <f t="shared" si="18"/>
        <v>4</v>
      </c>
      <c r="BJ15" s="58"/>
      <c r="BK15" s="84">
        <f t="shared" si="19"/>
        <v>0</v>
      </c>
      <c r="BL15" s="58" t="s">
        <v>80</v>
      </c>
      <c r="BM15" s="58">
        <v>61.1</v>
      </c>
    </row>
    <row r="16" spans="1:65" ht="13.8">
      <c r="A16" s="71" t="s">
        <v>79</v>
      </c>
      <c r="B16" s="73" t="s">
        <v>100</v>
      </c>
      <c r="C16" s="74">
        <v>1.0068427866579677</v>
      </c>
      <c r="D16" s="75">
        <v>0.93628014762681311</v>
      </c>
      <c r="E16" s="76">
        <f t="shared" si="0"/>
        <v>0.90928386858619414</v>
      </c>
      <c r="F16" s="76">
        <f t="shared" si="1"/>
        <v>0.60110710136072132</v>
      </c>
      <c r="G16" s="76">
        <v>0.63870322883501995</v>
      </c>
      <c r="H16" s="77">
        <v>7.1397470599614667</v>
      </c>
      <c r="I16" s="78">
        <v>0.67300000000000004</v>
      </c>
      <c r="J16" s="79">
        <v>390096</v>
      </c>
      <c r="K16" s="79">
        <v>354708</v>
      </c>
      <c r="L16" s="80">
        <v>10926409</v>
      </c>
      <c r="M16" s="80">
        <v>177845864</v>
      </c>
      <c r="N16" s="80">
        <v>377717074</v>
      </c>
      <c r="O16" s="80">
        <f t="shared" si="2"/>
        <v>566489347</v>
      </c>
      <c r="P16" s="80">
        <f t="shared" si="3"/>
        <v>3411355</v>
      </c>
      <c r="Q16" s="80">
        <f t="shared" si="4"/>
        <v>68056382</v>
      </c>
      <c r="R16" s="80">
        <f t="shared" si="5"/>
        <v>98814530</v>
      </c>
      <c r="S16" s="80">
        <f t="shared" si="6"/>
        <v>170282267</v>
      </c>
      <c r="T16" s="81">
        <v>32479418</v>
      </c>
      <c r="U16" s="81">
        <v>312089730</v>
      </c>
      <c r="V16" s="81">
        <v>597840858</v>
      </c>
      <c r="W16" s="80">
        <f t="shared" si="7"/>
        <v>942410006</v>
      </c>
      <c r="X16" s="80">
        <v>14337764</v>
      </c>
      <c r="Y16" s="80">
        <v>245902246</v>
      </c>
      <c r="Z16" s="80">
        <v>476531604</v>
      </c>
      <c r="AA16" s="80">
        <f t="shared" si="8"/>
        <v>736771614</v>
      </c>
      <c r="AB16" s="82"/>
      <c r="AC16" s="82"/>
      <c r="AD16" s="82"/>
      <c r="AE16" s="82"/>
      <c r="AF16" s="82"/>
      <c r="AG16" s="82"/>
      <c r="AH16" s="82">
        <v>1</v>
      </c>
      <c r="AI16" s="82"/>
      <c r="AJ16" s="82">
        <v>1</v>
      </c>
      <c r="AK16" s="82"/>
      <c r="AL16" s="82"/>
      <c r="AM16" s="82"/>
      <c r="AN16" s="82"/>
      <c r="AO16" s="58"/>
      <c r="AP16" s="58"/>
      <c r="AQ16" s="58"/>
      <c r="AR16" s="58"/>
      <c r="AS16" s="58"/>
      <c r="AT16" s="58"/>
      <c r="AU16" s="58"/>
      <c r="AV16" s="58"/>
      <c r="AW16" s="58"/>
      <c r="AX16" s="58"/>
      <c r="AY16" s="58"/>
      <c r="AZ16" s="82">
        <f t="shared" si="9"/>
        <v>1</v>
      </c>
      <c r="BA16" s="82">
        <f t="shared" si="10"/>
        <v>0</v>
      </c>
      <c r="BB16" s="82">
        <f t="shared" si="11"/>
        <v>1</v>
      </c>
      <c r="BC16" s="82">
        <f t="shared" si="12"/>
        <v>0</v>
      </c>
      <c r="BD16" s="82">
        <f t="shared" si="13"/>
        <v>0</v>
      </c>
      <c r="BE16" s="82">
        <f t="shared" si="14"/>
        <v>0</v>
      </c>
      <c r="BF16" s="82">
        <f t="shared" si="15"/>
        <v>4688448.8279999997</v>
      </c>
      <c r="BG16" s="82">
        <f t="shared" si="16"/>
        <v>0.32699999999999996</v>
      </c>
      <c r="BH16" s="82">
        <f t="shared" si="17"/>
        <v>4688449.1549999993</v>
      </c>
      <c r="BI16" s="58">
        <f t="shared" si="18"/>
        <v>4</v>
      </c>
      <c r="BJ16" s="58"/>
      <c r="BK16" s="84">
        <f t="shared" si="19"/>
        <v>0</v>
      </c>
      <c r="BL16" s="58" t="s">
        <v>79</v>
      </c>
      <c r="BM16" s="58">
        <v>67.89</v>
      </c>
    </row>
    <row r="17" spans="1:65" ht="13.8">
      <c r="A17" s="71" t="s">
        <v>78</v>
      </c>
      <c r="B17" s="73" t="s">
        <v>102</v>
      </c>
      <c r="C17" s="74">
        <v>0.90680000000000005</v>
      </c>
      <c r="D17" s="75" t="s">
        <v>103</v>
      </c>
      <c r="E17" s="76">
        <v>0.74219999999999997</v>
      </c>
      <c r="F17" s="76">
        <v>0.59819999999999995</v>
      </c>
      <c r="G17" s="76">
        <v>0.50990000000000002</v>
      </c>
      <c r="H17" s="77">
        <v>1.73</v>
      </c>
      <c r="I17" s="78">
        <v>0.55000000000000004</v>
      </c>
      <c r="J17" s="79" t="s">
        <v>103</v>
      </c>
      <c r="K17" s="79" t="s">
        <v>103</v>
      </c>
      <c r="L17" s="80">
        <v>0</v>
      </c>
      <c r="M17" s="80">
        <v>0</v>
      </c>
      <c r="N17" s="80">
        <v>0</v>
      </c>
      <c r="O17" s="80">
        <f t="shared" si="2"/>
        <v>0</v>
      </c>
      <c r="P17" s="80">
        <f t="shared" si="3"/>
        <v>0</v>
      </c>
      <c r="Q17" s="80">
        <f t="shared" si="4"/>
        <v>0</v>
      </c>
      <c r="R17" s="80">
        <f t="shared" si="5"/>
        <v>0</v>
      </c>
      <c r="S17" s="80">
        <f t="shared" si="6"/>
        <v>0</v>
      </c>
      <c r="T17" s="81">
        <v>0</v>
      </c>
      <c r="U17" s="81">
        <v>0</v>
      </c>
      <c r="V17" s="81">
        <v>0</v>
      </c>
      <c r="W17" s="80">
        <f t="shared" si="7"/>
        <v>0</v>
      </c>
      <c r="X17" s="80">
        <v>0</v>
      </c>
      <c r="Y17" s="80">
        <v>0</v>
      </c>
      <c r="Z17" s="80">
        <v>0</v>
      </c>
      <c r="AA17" s="80">
        <f t="shared" si="8"/>
        <v>0</v>
      </c>
      <c r="AB17" s="82"/>
      <c r="AC17" s="82"/>
      <c r="AD17" s="82"/>
      <c r="AE17" s="82"/>
      <c r="AF17" s="82"/>
      <c r="AG17" s="82"/>
      <c r="AH17" s="82">
        <v>1</v>
      </c>
      <c r="AI17" s="82"/>
      <c r="AJ17" s="82">
        <v>1</v>
      </c>
      <c r="AK17" s="82"/>
      <c r="AL17" s="82"/>
      <c r="AM17" s="82"/>
      <c r="AN17" s="82"/>
      <c r="AO17" s="58"/>
      <c r="AP17" s="58"/>
      <c r="AQ17" s="58"/>
      <c r="AR17" s="58"/>
      <c r="AS17" s="58"/>
      <c r="AT17" s="58"/>
      <c r="AU17" s="58"/>
      <c r="AV17" s="58"/>
      <c r="AW17" s="58"/>
      <c r="AX17" s="58"/>
      <c r="AY17" s="58"/>
      <c r="AZ17" s="82">
        <f t="shared" si="9"/>
        <v>1</v>
      </c>
      <c r="BA17" s="82">
        <f t="shared" si="10"/>
        <v>0</v>
      </c>
      <c r="BB17" s="82">
        <f t="shared" si="11"/>
        <v>1</v>
      </c>
      <c r="BC17" s="82">
        <f t="shared" si="12"/>
        <v>0</v>
      </c>
      <c r="BD17" s="82">
        <f t="shared" si="13"/>
        <v>0</v>
      </c>
      <c r="BE17" s="82">
        <f t="shared" si="14"/>
        <v>0</v>
      </c>
      <c r="BF17" s="82">
        <f t="shared" si="15"/>
        <v>0</v>
      </c>
      <c r="BG17" s="82" t="e">
        <f t="shared" si="16"/>
        <v>#DIV/0!</v>
      </c>
      <c r="BH17" s="82" t="e">
        <f t="shared" si="17"/>
        <v>#DIV/0!</v>
      </c>
      <c r="BI17" s="58">
        <f t="shared" si="18"/>
        <v>4</v>
      </c>
      <c r="BJ17" s="58"/>
      <c r="BK17" s="84">
        <f t="shared" si="19"/>
        <v>1</v>
      </c>
      <c r="BL17" s="58" t="s">
        <v>106</v>
      </c>
      <c r="BM17" s="58">
        <v>55</v>
      </c>
    </row>
    <row r="18" spans="1:65" ht="13.8">
      <c r="A18" s="71" t="s">
        <v>77</v>
      </c>
      <c r="B18" s="73" t="s">
        <v>100</v>
      </c>
      <c r="C18" s="74">
        <v>0.92124160788646214</v>
      </c>
      <c r="D18" s="75">
        <v>0.96143047140534954</v>
      </c>
      <c r="E18" s="76">
        <f t="shared" ref="E18:E45" si="20">K18/J18</f>
        <v>0.78484162221758691</v>
      </c>
      <c r="F18" s="76">
        <f t="shared" ref="F18:F45" si="21">O18/W18</f>
        <v>0.62806621283566166</v>
      </c>
      <c r="G18" s="76">
        <v>0.43194698753160693</v>
      </c>
      <c r="H18" s="77">
        <v>4.6294098894951246</v>
      </c>
      <c r="I18" s="78">
        <v>0.53469999999999995</v>
      </c>
      <c r="J18" s="79">
        <v>67118</v>
      </c>
      <c r="K18" s="79">
        <v>52677</v>
      </c>
      <c r="L18" s="80">
        <v>1909379</v>
      </c>
      <c r="M18" s="80">
        <v>21683333</v>
      </c>
      <c r="N18" s="80">
        <v>48682557</v>
      </c>
      <c r="O18" s="80">
        <f t="shared" si="2"/>
        <v>72275269</v>
      </c>
      <c r="P18" s="80">
        <f t="shared" si="3"/>
        <v>1312501</v>
      </c>
      <c r="Q18" s="80">
        <f t="shared" si="4"/>
        <v>14877901</v>
      </c>
      <c r="R18" s="80">
        <f t="shared" si="5"/>
        <v>10585152</v>
      </c>
      <c r="S18" s="80">
        <f t="shared" si="6"/>
        <v>26775554</v>
      </c>
      <c r="T18" s="81">
        <v>6820844</v>
      </c>
      <c r="U18" s="81">
        <v>40176478</v>
      </c>
      <c r="V18" s="81">
        <v>68078553</v>
      </c>
      <c r="W18" s="80">
        <f t="shared" si="7"/>
        <v>115075875</v>
      </c>
      <c r="X18" s="80">
        <v>3221880</v>
      </c>
      <c r="Y18" s="80">
        <v>36561234</v>
      </c>
      <c r="Z18" s="80">
        <v>59267709</v>
      </c>
      <c r="AA18" s="80">
        <f t="shared" si="8"/>
        <v>99050823</v>
      </c>
      <c r="AB18" s="82"/>
      <c r="AC18" s="82"/>
      <c r="AD18" s="82"/>
      <c r="AE18" s="82"/>
      <c r="AF18" s="82"/>
      <c r="AG18" s="82"/>
      <c r="AH18" s="82">
        <v>1</v>
      </c>
      <c r="AI18" s="82"/>
      <c r="AJ18" s="82">
        <v>1</v>
      </c>
      <c r="AK18" s="82"/>
      <c r="AL18" s="82"/>
      <c r="AM18" s="82"/>
      <c r="AN18" s="82"/>
      <c r="AO18" s="58"/>
      <c r="AP18" s="58"/>
      <c r="AQ18" s="58"/>
      <c r="AR18" s="58"/>
      <c r="AS18" s="58"/>
      <c r="AT18" s="58"/>
      <c r="AU18" s="58"/>
      <c r="AV18" s="58"/>
      <c r="AW18" s="58"/>
      <c r="AX18" s="58"/>
      <c r="AY18" s="58"/>
      <c r="AZ18" s="82">
        <f t="shared" si="9"/>
        <v>1</v>
      </c>
      <c r="BA18" s="82">
        <f t="shared" si="10"/>
        <v>0</v>
      </c>
      <c r="BB18" s="82">
        <f t="shared" si="11"/>
        <v>1</v>
      </c>
      <c r="BC18" s="82">
        <f t="shared" si="12"/>
        <v>0</v>
      </c>
      <c r="BD18" s="82">
        <f t="shared" si="13"/>
        <v>0</v>
      </c>
      <c r="BE18" s="82">
        <f t="shared" si="14"/>
        <v>0</v>
      </c>
      <c r="BF18" s="82">
        <f t="shared" si="15"/>
        <v>1499140.7640000002</v>
      </c>
      <c r="BG18" s="82">
        <f t="shared" si="16"/>
        <v>0.46530000000000005</v>
      </c>
      <c r="BH18" s="82">
        <f t="shared" si="17"/>
        <v>1499141.2293000002</v>
      </c>
      <c r="BI18" s="58">
        <f t="shared" si="18"/>
        <v>4</v>
      </c>
      <c r="BJ18" s="58"/>
      <c r="BK18" s="84">
        <f t="shared" si="19"/>
        <v>0</v>
      </c>
      <c r="BL18" s="58" t="s">
        <v>77</v>
      </c>
      <c r="BM18" s="58">
        <v>54.93</v>
      </c>
    </row>
    <row r="19" spans="1:65" ht="13.8">
      <c r="A19" s="71" t="s">
        <v>76</v>
      </c>
      <c r="B19" s="73" t="s">
        <v>102</v>
      </c>
      <c r="C19" s="74">
        <v>0.9713044784681153</v>
      </c>
      <c r="D19" s="75">
        <v>0.66813509544787075</v>
      </c>
      <c r="E19" s="76">
        <f t="shared" si="20"/>
        <v>0.91960176858062381</v>
      </c>
      <c r="F19" s="76">
        <f t="shared" si="21"/>
        <v>0.65621716363957661</v>
      </c>
      <c r="G19" s="76">
        <v>0.60221247892074203</v>
      </c>
      <c r="H19" s="77">
        <v>5.2479041995188735</v>
      </c>
      <c r="I19" s="78">
        <v>0.70340000000000003</v>
      </c>
      <c r="J19" s="79">
        <v>99741</v>
      </c>
      <c r="K19" s="79">
        <v>91722</v>
      </c>
      <c r="L19" s="80">
        <v>1853270</v>
      </c>
      <c r="M19" s="80">
        <v>9113242</v>
      </c>
      <c r="N19" s="80">
        <v>120666801</v>
      </c>
      <c r="O19" s="80">
        <f t="shared" si="2"/>
        <v>131633313</v>
      </c>
      <c r="P19" s="80">
        <f t="shared" si="3"/>
        <v>575237</v>
      </c>
      <c r="Q19" s="80">
        <f t="shared" si="4"/>
        <v>8840194</v>
      </c>
      <c r="R19" s="80">
        <f t="shared" si="5"/>
        <v>32429108</v>
      </c>
      <c r="S19" s="80">
        <f t="shared" si="6"/>
        <v>41844539</v>
      </c>
      <c r="T19" s="81">
        <v>6071412</v>
      </c>
      <c r="U19" s="81">
        <v>18036372</v>
      </c>
      <c r="V19" s="81">
        <v>176486349</v>
      </c>
      <c r="W19" s="80">
        <f t="shared" si="7"/>
        <v>200594133</v>
      </c>
      <c r="X19" s="80">
        <v>2428507</v>
      </c>
      <c r="Y19" s="80">
        <v>17953436</v>
      </c>
      <c r="Z19" s="80">
        <v>153095909</v>
      </c>
      <c r="AA19" s="80">
        <f t="shared" si="8"/>
        <v>173477852</v>
      </c>
      <c r="AB19" s="82"/>
      <c r="AC19" s="82"/>
      <c r="AD19" s="82"/>
      <c r="AE19" s="82"/>
      <c r="AF19" s="82"/>
      <c r="AG19" s="82"/>
      <c r="AH19" s="82">
        <v>1</v>
      </c>
      <c r="AI19" s="82"/>
      <c r="AJ19" s="82">
        <v>1</v>
      </c>
      <c r="AK19" s="82"/>
      <c r="AL19" s="82"/>
      <c r="AM19" s="82"/>
      <c r="AN19" s="82"/>
      <c r="AO19" s="58"/>
      <c r="AP19" s="58"/>
      <c r="AQ19" s="58"/>
      <c r="AR19" s="58"/>
      <c r="AS19" s="58"/>
      <c r="AT19" s="58"/>
      <c r="AU19" s="58"/>
      <c r="AV19" s="58"/>
      <c r="AW19" s="58"/>
      <c r="AX19" s="58"/>
      <c r="AY19" s="58"/>
      <c r="AZ19" s="82">
        <f t="shared" si="9"/>
        <v>1</v>
      </c>
      <c r="BA19" s="82">
        <f t="shared" si="10"/>
        <v>0</v>
      </c>
      <c r="BB19" s="82">
        <f t="shared" si="11"/>
        <v>1</v>
      </c>
      <c r="BC19" s="82">
        <f t="shared" si="12"/>
        <v>0</v>
      </c>
      <c r="BD19" s="82">
        <f t="shared" si="13"/>
        <v>0</v>
      </c>
      <c r="BE19" s="82">
        <f t="shared" si="14"/>
        <v>0</v>
      </c>
      <c r="BF19" s="82">
        <f t="shared" si="15"/>
        <v>720295.17619999999</v>
      </c>
      <c r="BG19" s="82">
        <f t="shared" si="16"/>
        <v>0.29659999999999997</v>
      </c>
      <c r="BH19" s="82">
        <f t="shared" si="17"/>
        <v>720295.47279999999</v>
      </c>
      <c r="BI19" s="58">
        <f t="shared" si="18"/>
        <v>4</v>
      </c>
      <c r="BJ19" s="58"/>
      <c r="BK19" s="84">
        <f t="shared" si="19"/>
        <v>0</v>
      </c>
      <c r="BL19" s="58" t="s">
        <v>76</v>
      </c>
      <c r="BM19" s="58">
        <v>71.510000000000005</v>
      </c>
    </row>
    <row r="20" spans="1:65" ht="13.8">
      <c r="A20" s="71" t="s">
        <v>33</v>
      </c>
      <c r="B20" s="73" t="s">
        <v>100</v>
      </c>
      <c r="C20" s="74">
        <v>0.82668223543771846</v>
      </c>
      <c r="D20" s="75">
        <v>0.94208345716133768</v>
      </c>
      <c r="E20" s="76">
        <f t="shared" si="20"/>
        <v>0.83010080814928844</v>
      </c>
      <c r="F20" s="76">
        <f t="shared" si="21"/>
        <v>0.62427088616533488</v>
      </c>
      <c r="G20" s="76">
        <v>0.6008330315103223</v>
      </c>
      <c r="H20" s="77">
        <v>5.2221700586602875</v>
      </c>
      <c r="I20" s="78">
        <v>0.50139999999999996</v>
      </c>
      <c r="J20" s="79">
        <v>463157</v>
      </c>
      <c r="K20" s="79">
        <v>384467</v>
      </c>
      <c r="L20" s="80">
        <v>8247898</v>
      </c>
      <c r="M20" s="80">
        <v>117082356</v>
      </c>
      <c r="N20" s="80">
        <v>419706924</v>
      </c>
      <c r="O20" s="80">
        <f t="shared" si="2"/>
        <v>545037178</v>
      </c>
      <c r="P20" s="80">
        <f t="shared" si="3"/>
        <v>2745604</v>
      </c>
      <c r="Q20" s="80">
        <f t="shared" si="4"/>
        <v>86351187</v>
      </c>
      <c r="R20" s="80">
        <f t="shared" si="5"/>
        <v>155220650</v>
      </c>
      <c r="S20" s="80">
        <f t="shared" si="6"/>
        <v>244317441</v>
      </c>
      <c r="T20" s="81">
        <v>26088007</v>
      </c>
      <c r="U20" s="81">
        <v>228517110</v>
      </c>
      <c r="V20" s="81">
        <v>618472885</v>
      </c>
      <c r="W20" s="80">
        <f t="shared" si="7"/>
        <v>873078002</v>
      </c>
      <c r="X20" s="80">
        <v>10993502</v>
      </c>
      <c r="Y20" s="80">
        <v>203433543</v>
      </c>
      <c r="Z20" s="80">
        <v>574927574</v>
      </c>
      <c r="AA20" s="80">
        <f t="shared" si="8"/>
        <v>789354619</v>
      </c>
      <c r="AB20" s="82"/>
      <c r="AC20" s="82"/>
      <c r="AD20" s="82"/>
      <c r="AE20" s="82"/>
      <c r="AF20" s="82"/>
      <c r="AG20" s="82"/>
      <c r="AH20" s="82">
        <v>1</v>
      </c>
      <c r="AI20" s="82"/>
      <c r="AJ20" s="82">
        <v>1</v>
      </c>
      <c r="AK20" s="82"/>
      <c r="AL20" s="82"/>
      <c r="AM20" s="82"/>
      <c r="AN20" s="82"/>
      <c r="AO20" s="58"/>
      <c r="AP20" s="58"/>
      <c r="AQ20" s="58"/>
      <c r="AR20" s="58"/>
      <c r="AS20" s="58"/>
      <c r="AT20" s="58"/>
      <c r="AU20" s="58"/>
      <c r="AV20" s="58"/>
      <c r="AW20" s="58"/>
      <c r="AX20" s="58"/>
      <c r="AY20" s="58"/>
      <c r="AZ20" s="82">
        <f t="shared" si="9"/>
        <v>1</v>
      </c>
      <c r="BA20" s="82">
        <f t="shared" si="10"/>
        <v>0</v>
      </c>
      <c r="BB20" s="82">
        <f t="shared" si="11"/>
        <v>1</v>
      </c>
      <c r="BC20" s="82">
        <f t="shared" si="12"/>
        <v>0</v>
      </c>
      <c r="BD20" s="82">
        <f t="shared" si="13"/>
        <v>0</v>
      </c>
      <c r="BE20" s="82">
        <f t="shared" si="14"/>
        <v>0</v>
      </c>
      <c r="BF20" s="82">
        <f t="shared" si="15"/>
        <v>5481360.0972000007</v>
      </c>
      <c r="BG20" s="82">
        <f t="shared" si="16"/>
        <v>0.49860000000000004</v>
      </c>
      <c r="BH20" s="82">
        <f t="shared" si="17"/>
        <v>5481360.5958000002</v>
      </c>
      <c r="BI20" s="58">
        <f t="shared" si="18"/>
        <v>4</v>
      </c>
      <c r="BJ20" s="58"/>
      <c r="BK20" s="84">
        <f t="shared" si="19"/>
        <v>0</v>
      </c>
      <c r="BL20" s="58" t="s">
        <v>33</v>
      </c>
      <c r="BM20" s="58">
        <v>51.3</v>
      </c>
    </row>
    <row r="21" spans="1:65" ht="13.8">
      <c r="A21" s="71" t="s">
        <v>75</v>
      </c>
      <c r="B21" s="73" t="s">
        <v>102</v>
      </c>
      <c r="C21" s="74">
        <v>1.0516899346516166</v>
      </c>
      <c r="D21" s="75" t="s">
        <v>103</v>
      </c>
      <c r="E21" s="76">
        <f t="shared" si="20"/>
        <v>0.94604238502963856</v>
      </c>
      <c r="F21" s="76">
        <f t="shared" si="21"/>
        <v>0.66349455878996588</v>
      </c>
      <c r="G21" s="76">
        <v>0.72384311985183236</v>
      </c>
      <c r="H21" s="77">
        <v>5.2143232557886563</v>
      </c>
      <c r="I21" s="78">
        <v>0.65839999999999999</v>
      </c>
      <c r="J21" s="79">
        <v>258110</v>
      </c>
      <c r="K21" s="79">
        <v>244183</v>
      </c>
      <c r="L21" s="80">
        <v>2405426</v>
      </c>
      <c r="M21" s="80">
        <v>87447010</v>
      </c>
      <c r="N21" s="80">
        <v>298283422</v>
      </c>
      <c r="O21" s="80">
        <f t="shared" si="2"/>
        <v>388135858</v>
      </c>
      <c r="P21" s="80">
        <f t="shared" si="3"/>
        <v>1079785</v>
      </c>
      <c r="Q21" s="80">
        <f t="shared" si="4"/>
        <v>66028488</v>
      </c>
      <c r="R21" s="80">
        <f t="shared" si="5"/>
        <v>91042401</v>
      </c>
      <c r="S21" s="80">
        <f t="shared" si="6"/>
        <v>158150674</v>
      </c>
      <c r="T21" s="81">
        <v>7317533</v>
      </c>
      <c r="U21" s="81">
        <v>150122190</v>
      </c>
      <c r="V21" s="81">
        <v>427547528</v>
      </c>
      <c r="W21" s="80">
        <f t="shared" si="7"/>
        <v>584987251</v>
      </c>
      <c r="X21" s="80">
        <v>3485211</v>
      </c>
      <c r="Y21" s="80">
        <v>153475498</v>
      </c>
      <c r="Z21" s="80">
        <v>389325823</v>
      </c>
      <c r="AA21" s="80">
        <f t="shared" si="8"/>
        <v>546286532</v>
      </c>
      <c r="AB21" s="82"/>
      <c r="AC21" s="82"/>
      <c r="AD21" s="82"/>
      <c r="AE21" s="82"/>
      <c r="AF21" s="82"/>
      <c r="AG21" s="82"/>
      <c r="AH21" s="82">
        <v>1</v>
      </c>
      <c r="AI21" s="82"/>
      <c r="AJ21" s="82">
        <v>1</v>
      </c>
      <c r="AK21" s="82"/>
      <c r="AL21" s="82"/>
      <c r="AM21" s="82"/>
      <c r="AN21" s="82"/>
      <c r="AO21" s="58"/>
      <c r="AP21" s="58"/>
      <c r="AQ21" s="58"/>
      <c r="AR21" s="58"/>
      <c r="AS21" s="58"/>
      <c r="AT21" s="58"/>
      <c r="AU21" s="58"/>
      <c r="AV21" s="58"/>
      <c r="AW21" s="58"/>
      <c r="AX21" s="58"/>
      <c r="AY21" s="58"/>
      <c r="AZ21" s="82">
        <f t="shared" si="9"/>
        <v>1</v>
      </c>
      <c r="BA21" s="82">
        <f t="shared" si="10"/>
        <v>0</v>
      </c>
      <c r="BB21" s="82">
        <f t="shared" si="11"/>
        <v>1</v>
      </c>
      <c r="BC21" s="82">
        <f t="shared" si="12"/>
        <v>0</v>
      </c>
      <c r="BD21" s="82">
        <f t="shared" si="13"/>
        <v>0</v>
      </c>
      <c r="BE21" s="82">
        <f t="shared" si="14"/>
        <v>0</v>
      </c>
      <c r="BF21" s="82">
        <f t="shared" si="15"/>
        <v>1190548.0776</v>
      </c>
      <c r="BG21" s="82">
        <f t="shared" si="16"/>
        <v>0.34160000000000001</v>
      </c>
      <c r="BH21" s="82">
        <f t="shared" si="17"/>
        <v>1190548.4191999999</v>
      </c>
      <c r="BI21" s="58">
        <f t="shared" si="18"/>
        <v>4</v>
      </c>
      <c r="BJ21" s="58"/>
      <c r="BK21" s="84">
        <f t="shared" si="19"/>
        <v>0</v>
      </c>
      <c r="BL21" s="58" t="s">
        <v>75</v>
      </c>
      <c r="BM21" s="58">
        <v>66.739999999999995</v>
      </c>
    </row>
    <row r="22" spans="1:65" ht="13.8">
      <c r="A22" s="71" t="s">
        <v>74</v>
      </c>
      <c r="B22" s="73" t="s">
        <v>100</v>
      </c>
      <c r="C22" s="74">
        <v>0.98906692339220859</v>
      </c>
      <c r="D22" s="75">
        <v>0.95339293565880112</v>
      </c>
      <c r="E22" s="76">
        <f t="shared" si="20"/>
        <v>0.92806217287090931</v>
      </c>
      <c r="F22" s="76">
        <f t="shared" si="21"/>
        <v>0.72663182639918944</v>
      </c>
      <c r="G22" s="76">
        <v>0.69365466608905813</v>
      </c>
      <c r="H22" s="77">
        <v>5.8622739422120915</v>
      </c>
      <c r="I22" s="78">
        <v>0.61199999999999999</v>
      </c>
      <c r="J22" s="79">
        <v>163544</v>
      </c>
      <c r="K22" s="79">
        <v>151779</v>
      </c>
      <c r="L22" s="80">
        <v>5047162</v>
      </c>
      <c r="M22" s="80">
        <v>68858815</v>
      </c>
      <c r="N22" s="80">
        <v>170239469</v>
      </c>
      <c r="O22" s="80">
        <f t="shared" si="2"/>
        <v>244145446</v>
      </c>
      <c r="P22" s="80">
        <f t="shared" si="3"/>
        <v>2496177</v>
      </c>
      <c r="Q22" s="80">
        <f t="shared" si="4"/>
        <v>38555917</v>
      </c>
      <c r="R22" s="80">
        <f t="shared" si="5"/>
        <v>32823321</v>
      </c>
      <c r="S22" s="80">
        <f t="shared" si="6"/>
        <v>73875415</v>
      </c>
      <c r="T22" s="81">
        <v>11589386</v>
      </c>
      <c r="U22" s="81">
        <v>103618321</v>
      </c>
      <c r="V22" s="81">
        <v>220788374</v>
      </c>
      <c r="W22" s="80">
        <f t="shared" si="7"/>
        <v>335996081</v>
      </c>
      <c r="X22" s="80">
        <v>7543339</v>
      </c>
      <c r="Y22" s="80">
        <v>107414732</v>
      </c>
      <c r="Z22" s="80">
        <v>203062790</v>
      </c>
      <c r="AA22" s="80">
        <f t="shared" si="8"/>
        <v>318020861</v>
      </c>
      <c r="AB22" s="82"/>
      <c r="AC22" s="82"/>
      <c r="AD22" s="82"/>
      <c r="AE22" s="82"/>
      <c r="AF22" s="82"/>
      <c r="AG22" s="82"/>
      <c r="AH22" s="82">
        <v>1</v>
      </c>
      <c r="AI22" s="82"/>
      <c r="AJ22" s="82">
        <v>1</v>
      </c>
      <c r="AK22" s="82"/>
      <c r="AL22" s="82"/>
      <c r="AM22" s="82"/>
      <c r="AN22" s="82"/>
      <c r="AO22" s="58"/>
      <c r="AP22" s="58"/>
      <c r="AQ22" s="58"/>
      <c r="AR22" s="58"/>
      <c r="AS22" s="58"/>
      <c r="AT22" s="58"/>
      <c r="AU22" s="58"/>
      <c r="AV22" s="58"/>
      <c r="AW22" s="58"/>
      <c r="AX22" s="58"/>
      <c r="AY22" s="58"/>
      <c r="AZ22" s="82">
        <f t="shared" si="9"/>
        <v>1</v>
      </c>
      <c r="BA22" s="82">
        <f t="shared" si="10"/>
        <v>0</v>
      </c>
      <c r="BB22" s="82">
        <f t="shared" si="11"/>
        <v>1</v>
      </c>
      <c r="BC22" s="82">
        <f t="shared" si="12"/>
        <v>0</v>
      </c>
      <c r="BD22" s="82">
        <f t="shared" si="13"/>
        <v>0</v>
      </c>
      <c r="BE22" s="82">
        <f t="shared" si="14"/>
        <v>0</v>
      </c>
      <c r="BF22" s="82">
        <f t="shared" si="15"/>
        <v>2926815.5320000001</v>
      </c>
      <c r="BG22" s="82">
        <f t="shared" si="16"/>
        <v>0.38800000000000001</v>
      </c>
      <c r="BH22" s="82">
        <f t="shared" si="17"/>
        <v>2926815.92</v>
      </c>
      <c r="BI22" s="58">
        <f t="shared" si="18"/>
        <v>4</v>
      </c>
      <c r="BJ22" s="58"/>
      <c r="BK22" s="84">
        <f t="shared" si="19"/>
        <v>0</v>
      </c>
      <c r="BL22" s="58" t="s">
        <v>74</v>
      </c>
      <c r="BM22" s="58">
        <v>56.74</v>
      </c>
    </row>
    <row r="23" spans="1:65" ht="13.8">
      <c r="A23" s="71" t="s">
        <v>73</v>
      </c>
      <c r="B23" s="73" t="s">
        <v>100</v>
      </c>
      <c r="C23" s="74">
        <v>0.99492077188578598</v>
      </c>
      <c r="D23" s="75">
        <v>0.96316127650460481</v>
      </c>
      <c r="E23" s="76">
        <f t="shared" si="20"/>
        <v>0.89229183959698888</v>
      </c>
      <c r="F23" s="76">
        <f t="shared" si="21"/>
        <v>0.56206461434833255</v>
      </c>
      <c r="G23" s="76">
        <v>0.57847685452066577</v>
      </c>
      <c r="H23" s="77">
        <v>5.7527921330070111</v>
      </c>
      <c r="I23" s="78">
        <v>0.59160000000000001</v>
      </c>
      <c r="J23" s="79">
        <v>139748</v>
      </c>
      <c r="K23" s="79">
        <v>124696</v>
      </c>
      <c r="L23" s="80">
        <v>3036983</v>
      </c>
      <c r="M23" s="80">
        <v>53868499</v>
      </c>
      <c r="N23" s="80">
        <v>84894077</v>
      </c>
      <c r="O23" s="80">
        <f t="shared" si="2"/>
        <v>141799559</v>
      </c>
      <c r="P23" s="80">
        <f t="shared" si="3"/>
        <v>1089231</v>
      </c>
      <c r="Q23" s="80">
        <f t="shared" si="4"/>
        <v>31617024</v>
      </c>
      <c r="R23" s="80">
        <f t="shared" si="5"/>
        <v>26479328</v>
      </c>
      <c r="S23" s="80">
        <f t="shared" si="6"/>
        <v>59185583</v>
      </c>
      <c r="T23" s="81">
        <v>9763771</v>
      </c>
      <c r="U23" s="81">
        <v>109012913</v>
      </c>
      <c r="V23" s="81">
        <v>133506693</v>
      </c>
      <c r="W23" s="80">
        <f t="shared" si="7"/>
        <v>252283377</v>
      </c>
      <c r="X23" s="80">
        <v>4126214</v>
      </c>
      <c r="Y23" s="80">
        <v>85485523</v>
      </c>
      <c r="Z23" s="80">
        <v>111373405</v>
      </c>
      <c r="AA23" s="80">
        <f t="shared" si="8"/>
        <v>200985142</v>
      </c>
      <c r="AB23" s="82"/>
      <c r="AC23" s="82"/>
      <c r="AD23" s="82"/>
      <c r="AE23" s="82"/>
      <c r="AF23" s="82"/>
      <c r="AG23" s="82"/>
      <c r="AH23" s="82">
        <v>1</v>
      </c>
      <c r="AI23" s="82"/>
      <c r="AJ23" s="82">
        <v>1</v>
      </c>
      <c r="AK23" s="82"/>
      <c r="AL23" s="82"/>
      <c r="AM23" s="82"/>
      <c r="AN23" s="82"/>
      <c r="AO23" s="58"/>
      <c r="AP23" s="58"/>
      <c r="AQ23" s="58"/>
      <c r="AR23" s="58"/>
      <c r="AS23" s="58"/>
      <c r="AT23" s="58"/>
      <c r="AU23" s="58"/>
      <c r="AV23" s="58"/>
      <c r="AW23" s="58"/>
      <c r="AX23" s="58"/>
      <c r="AY23" s="58"/>
      <c r="AZ23" s="82">
        <f t="shared" si="9"/>
        <v>1</v>
      </c>
      <c r="BA23" s="82">
        <f t="shared" si="10"/>
        <v>0</v>
      </c>
      <c r="BB23" s="82">
        <f t="shared" si="11"/>
        <v>1</v>
      </c>
      <c r="BC23" s="82">
        <f t="shared" si="12"/>
        <v>0</v>
      </c>
      <c r="BD23" s="82">
        <f t="shared" si="13"/>
        <v>0</v>
      </c>
      <c r="BE23" s="82">
        <f t="shared" si="14"/>
        <v>0</v>
      </c>
      <c r="BF23" s="82">
        <f t="shared" si="15"/>
        <v>1685145.7975999999</v>
      </c>
      <c r="BG23" s="82">
        <f t="shared" si="16"/>
        <v>0.40839999999999999</v>
      </c>
      <c r="BH23" s="82">
        <f t="shared" si="17"/>
        <v>1685146.206</v>
      </c>
      <c r="BI23" s="58">
        <f t="shared" si="18"/>
        <v>4</v>
      </c>
      <c r="BJ23" s="58"/>
      <c r="BK23" s="84">
        <f t="shared" si="19"/>
        <v>0</v>
      </c>
      <c r="BL23" s="58" t="s">
        <v>73</v>
      </c>
      <c r="BM23" s="58">
        <v>56.21</v>
      </c>
    </row>
    <row r="24" spans="1:65" ht="13.8">
      <c r="A24" s="71" t="s">
        <v>72</v>
      </c>
      <c r="B24" s="73" t="s">
        <v>102</v>
      </c>
      <c r="C24" s="74">
        <v>0.94112047484391181</v>
      </c>
      <c r="D24" s="75" t="s">
        <v>103</v>
      </c>
      <c r="E24" s="76">
        <f t="shared" si="20"/>
        <v>0.88944721773601532</v>
      </c>
      <c r="F24" s="76">
        <f t="shared" si="21"/>
        <v>0.5794576159950493</v>
      </c>
      <c r="G24" s="76">
        <v>0.60516730826177079</v>
      </c>
      <c r="H24" s="77">
        <v>6.3243797900084626</v>
      </c>
      <c r="I24" s="78">
        <v>0.71819999999999995</v>
      </c>
      <c r="J24" s="79">
        <v>272440</v>
      </c>
      <c r="K24" s="79">
        <v>242321</v>
      </c>
      <c r="L24" s="80">
        <v>12040152</v>
      </c>
      <c r="M24" s="80">
        <v>69790761</v>
      </c>
      <c r="N24" s="80">
        <v>184600958</v>
      </c>
      <c r="O24" s="80">
        <f t="shared" si="2"/>
        <v>266431871</v>
      </c>
      <c r="P24" s="80">
        <f t="shared" si="3"/>
        <v>7042895</v>
      </c>
      <c r="Q24" s="80">
        <f t="shared" si="4"/>
        <v>49360874</v>
      </c>
      <c r="R24" s="80">
        <f t="shared" si="5"/>
        <v>48581223</v>
      </c>
      <c r="S24" s="80">
        <f t="shared" si="6"/>
        <v>104984992</v>
      </c>
      <c r="T24" s="81">
        <v>52660017</v>
      </c>
      <c r="U24" s="81">
        <v>135653928</v>
      </c>
      <c r="V24" s="81">
        <v>271481325</v>
      </c>
      <c r="W24" s="80">
        <f t="shared" si="7"/>
        <v>459795270</v>
      </c>
      <c r="X24" s="80">
        <v>19083047</v>
      </c>
      <c r="Y24" s="80">
        <v>119151635</v>
      </c>
      <c r="Z24" s="80">
        <v>233182181</v>
      </c>
      <c r="AA24" s="80">
        <f t="shared" si="8"/>
        <v>371416863</v>
      </c>
      <c r="AB24" s="82"/>
      <c r="AC24" s="82"/>
      <c r="AD24" s="82"/>
      <c r="AE24" s="82"/>
      <c r="AF24" s="82"/>
      <c r="AG24" s="82"/>
      <c r="AH24" s="82">
        <v>1</v>
      </c>
      <c r="AI24" s="82"/>
      <c r="AJ24" s="82">
        <v>1</v>
      </c>
      <c r="AK24" s="82"/>
      <c r="AL24" s="82"/>
      <c r="AM24" s="82"/>
      <c r="AN24" s="82"/>
      <c r="AO24" s="58"/>
      <c r="AP24" s="58"/>
      <c r="AQ24" s="58"/>
      <c r="AR24" s="58"/>
      <c r="AS24" s="58"/>
      <c r="AT24" s="58"/>
      <c r="AU24" s="58"/>
      <c r="AV24" s="58"/>
      <c r="AW24" s="58"/>
      <c r="AX24" s="58"/>
      <c r="AY24" s="58"/>
      <c r="AZ24" s="82">
        <f t="shared" si="9"/>
        <v>1</v>
      </c>
      <c r="BA24" s="82">
        <f t="shared" si="10"/>
        <v>0</v>
      </c>
      <c r="BB24" s="82">
        <f t="shared" si="11"/>
        <v>1</v>
      </c>
      <c r="BC24" s="82">
        <f t="shared" si="12"/>
        <v>0</v>
      </c>
      <c r="BD24" s="82">
        <f t="shared" si="13"/>
        <v>0</v>
      </c>
      <c r="BE24" s="82">
        <f t="shared" si="14"/>
        <v>0</v>
      </c>
      <c r="BF24" s="82">
        <f t="shared" si="15"/>
        <v>5377602.6446000012</v>
      </c>
      <c r="BG24" s="82">
        <f t="shared" si="16"/>
        <v>0.28180000000000005</v>
      </c>
      <c r="BH24" s="82">
        <f t="shared" si="17"/>
        <v>5377602.9264000012</v>
      </c>
      <c r="BI24" s="58">
        <f t="shared" si="18"/>
        <v>4</v>
      </c>
      <c r="BJ24" s="58"/>
      <c r="BK24" s="84">
        <f t="shared" si="19"/>
        <v>0</v>
      </c>
      <c r="BL24" s="58" t="s">
        <v>72</v>
      </c>
      <c r="BM24" s="58">
        <v>70.459999999999994</v>
      </c>
    </row>
    <row r="25" spans="1:65" ht="13.8">
      <c r="A25" s="71" t="s">
        <v>71</v>
      </c>
      <c r="B25" s="73" t="s">
        <v>102</v>
      </c>
      <c r="C25" s="74">
        <v>0.95416451893851872</v>
      </c>
      <c r="D25" s="75" t="s">
        <v>103</v>
      </c>
      <c r="E25" s="76">
        <f t="shared" si="20"/>
        <v>0.87884192291668184</v>
      </c>
      <c r="F25" s="76">
        <f t="shared" si="21"/>
        <v>0.5406528342170166</v>
      </c>
      <c r="G25" s="76">
        <v>0.53984460023790848</v>
      </c>
      <c r="H25" s="77">
        <v>5.8356643443097269</v>
      </c>
      <c r="I25" s="78">
        <v>0.66859999999999997</v>
      </c>
      <c r="J25" s="79">
        <v>273626</v>
      </c>
      <c r="K25" s="79">
        <v>240474</v>
      </c>
      <c r="L25" s="80">
        <v>2960992</v>
      </c>
      <c r="M25" s="80">
        <v>68784499</v>
      </c>
      <c r="N25" s="80">
        <v>236347946</v>
      </c>
      <c r="O25" s="80">
        <f t="shared" si="2"/>
        <v>308093437</v>
      </c>
      <c r="P25" s="80">
        <f t="shared" si="3"/>
        <v>2512763</v>
      </c>
      <c r="Q25" s="80">
        <f t="shared" si="4"/>
        <v>44317185</v>
      </c>
      <c r="R25" s="80">
        <f t="shared" si="5"/>
        <v>76340926</v>
      </c>
      <c r="S25" s="80">
        <f t="shared" si="6"/>
        <v>123170874</v>
      </c>
      <c r="T25" s="81">
        <v>14266495</v>
      </c>
      <c r="U25" s="81">
        <v>143088272</v>
      </c>
      <c r="V25" s="81">
        <v>412499708</v>
      </c>
      <c r="W25" s="80">
        <f t="shared" si="7"/>
        <v>569854475</v>
      </c>
      <c r="X25" s="80">
        <v>5473755</v>
      </c>
      <c r="Y25" s="80">
        <v>113101684</v>
      </c>
      <c r="Z25" s="80">
        <v>312688872</v>
      </c>
      <c r="AA25" s="80">
        <f t="shared" si="8"/>
        <v>431264311</v>
      </c>
      <c r="AB25" s="82"/>
      <c r="AC25" s="82"/>
      <c r="AD25" s="82"/>
      <c r="AE25" s="82"/>
      <c r="AF25" s="82"/>
      <c r="AG25" s="82"/>
      <c r="AH25" s="82">
        <v>1</v>
      </c>
      <c r="AI25" s="82"/>
      <c r="AJ25" s="82">
        <v>1</v>
      </c>
      <c r="AK25" s="82"/>
      <c r="AL25" s="82"/>
      <c r="AM25" s="82"/>
      <c r="AN25" s="82"/>
      <c r="AO25" s="58"/>
      <c r="AP25" s="58"/>
      <c r="AQ25" s="58"/>
      <c r="AR25" s="58"/>
      <c r="AS25" s="58"/>
      <c r="AT25" s="58"/>
      <c r="AU25" s="58"/>
      <c r="AV25" s="58"/>
      <c r="AW25" s="58"/>
      <c r="AX25" s="58"/>
      <c r="AY25" s="58"/>
      <c r="AZ25" s="82">
        <f t="shared" si="9"/>
        <v>1</v>
      </c>
      <c r="BA25" s="82">
        <f t="shared" si="10"/>
        <v>0</v>
      </c>
      <c r="BB25" s="82">
        <f t="shared" si="11"/>
        <v>1</v>
      </c>
      <c r="BC25" s="82">
        <f t="shared" si="12"/>
        <v>0</v>
      </c>
      <c r="BD25" s="82">
        <f t="shared" si="13"/>
        <v>0</v>
      </c>
      <c r="BE25" s="82">
        <f t="shared" si="14"/>
        <v>0</v>
      </c>
      <c r="BF25" s="82">
        <f t="shared" si="15"/>
        <v>1814002.4070000001</v>
      </c>
      <c r="BG25" s="82">
        <f t="shared" si="16"/>
        <v>0.33140000000000003</v>
      </c>
      <c r="BH25" s="82">
        <f t="shared" si="17"/>
        <v>1814002.7384000001</v>
      </c>
      <c r="BI25" s="58">
        <f t="shared" si="18"/>
        <v>4</v>
      </c>
      <c r="BJ25" s="58"/>
      <c r="BK25" s="84">
        <f t="shared" si="19"/>
        <v>0</v>
      </c>
      <c r="BL25" s="58" t="s">
        <v>71</v>
      </c>
      <c r="BM25" s="58">
        <v>62.28</v>
      </c>
    </row>
    <row r="26" spans="1:65" ht="13.8">
      <c r="A26" s="71" t="s">
        <v>70</v>
      </c>
      <c r="B26" s="73" t="s">
        <v>102</v>
      </c>
      <c r="C26" s="74">
        <v>1.0453473789816905</v>
      </c>
      <c r="D26" s="75" t="s">
        <v>103</v>
      </c>
      <c r="E26" s="76">
        <f t="shared" si="20"/>
        <v>0.95266473307350674</v>
      </c>
      <c r="F26" s="76">
        <f t="shared" si="21"/>
        <v>0.64077149612200379</v>
      </c>
      <c r="G26" s="76">
        <v>0.66331963385017745</v>
      </c>
      <c r="H26" s="77">
        <v>3.7028416292197468</v>
      </c>
      <c r="I26" s="78">
        <v>0.63800000000000001</v>
      </c>
      <c r="J26" s="79">
        <v>44132</v>
      </c>
      <c r="K26" s="79">
        <v>42043</v>
      </c>
      <c r="L26" s="80">
        <v>2223373</v>
      </c>
      <c r="M26" s="80">
        <v>31057725</v>
      </c>
      <c r="N26" s="80">
        <v>33286749</v>
      </c>
      <c r="O26" s="80">
        <f t="shared" si="2"/>
        <v>66567847</v>
      </c>
      <c r="P26" s="80">
        <f t="shared" si="3"/>
        <v>982917</v>
      </c>
      <c r="Q26" s="80">
        <f t="shared" si="4"/>
        <v>22117060</v>
      </c>
      <c r="R26" s="80">
        <f t="shared" si="5"/>
        <v>9237367</v>
      </c>
      <c r="S26" s="80">
        <f t="shared" si="6"/>
        <v>32337344</v>
      </c>
      <c r="T26" s="81">
        <v>5920028</v>
      </c>
      <c r="U26" s="81">
        <v>51965951</v>
      </c>
      <c r="V26" s="81">
        <v>46001050</v>
      </c>
      <c r="W26" s="80">
        <f t="shared" si="7"/>
        <v>103887029</v>
      </c>
      <c r="X26" s="80">
        <v>3206290</v>
      </c>
      <c r="Y26" s="80">
        <v>53174785</v>
      </c>
      <c r="Z26" s="80">
        <v>42524116</v>
      </c>
      <c r="AA26" s="80">
        <f t="shared" si="8"/>
        <v>98905191</v>
      </c>
      <c r="AB26" s="82"/>
      <c r="AC26" s="82"/>
      <c r="AD26" s="82"/>
      <c r="AE26" s="82"/>
      <c r="AF26" s="82"/>
      <c r="AG26" s="82"/>
      <c r="AH26" s="82">
        <v>1</v>
      </c>
      <c r="AI26" s="82"/>
      <c r="AJ26" s="82">
        <v>1</v>
      </c>
      <c r="AK26" s="82"/>
      <c r="AL26" s="82"/>
      <c r="AM26" s="82"/>
      <c r="AN26" s="82"/>
      <c r="AO26" s="58"/>
      <c r="AP26" s="58"/>
      <c r="AQ26" s="58"/>
      <c r="AR26" s="58"/>
      <c r="AS26" s="58"/>
      <c r="AT26" s="58"/>
      <c r="AU26" s="58"/>
      <c r="AV26" s="58"/>
      <c r="AW26" s="58"/>
      <c r="AX26" s="58"/>
      <c r="AY26" s="58"/>
      <c r="AZ26" s="82">
        <f t="shared" si="9"/>
        <v>1</v>
      </c>
      <c r="BA26" s="82">
        <f t="shared" si="10"/>
        <v>0</v>
      </c>
      <c r="BB26" s="82">
        <f t="shared" si="11"/>
        <v>1</v>
      </c>
      <c r="BC26" s="82">
        <f t="shared" si="12"/>
        <v>0</v>
      </c>
      <c r="BD26" s="82">
        <f t="shared" si="13"/>
        <v>0</v>
      </c>
      <c r="BE26" s="82">
        <f t="shared" si="14"/>
        <v>0</v>
      </c>
      <c r="BF26" s="82">
        <f t="shared" si="15"/>
        <v>1160676.98</v>
      </c>
      <c r="BG26" s="82">
        <f t="shared" si="16"/>
        <v>0.36199999999999999</v>
      </c>
      <c r="BH26" s="82">
        <f t="shared" si="17"/>
        <v>1160677.3419999999</v>
      </c>
      <c r="BI26" s="58">
        <f t="shared" si="18"/>
        <v>4</v>
      </c>
      <c r="BJ26" s="58"/>
      <c r="BK26" s="84">
        <f t="shared" si="19"/>
        <v>0</v>
      </c>
      <c r="BL26" s="58" t="s">
        <v>70</v>
      </c>
      <c r="BM26" s="58">
        <v>64.38</v>
      </c>
    </row>
    <row r="27" spans="1:65" ht="13.8">
      <c r="A27" s="71" t="s">
        <v>69</v>
      </c>
      <c r="B27" s="73" t="s">
        <v>100</v>
      </c>
      <c r="C27" s="74">
        <v>0.98355105890865868</v>
      </c>
      <c r="D27" s="75">
        <v>0.91811950528982267</v>
      </c>
      <c r="E27" s="76">
        <f t="shared" si="20"/>
        <v>0.83618424039426753</v>
      </c>
      <c r="F27" s="76">
        <f t="shared" si="21"/>
        <v>0.68726751360252969</v>
      </c>
      <c r="G27" s="76">
        <v>0.70190619112998498</v>
      </c>
      <c r="H27" s="77">
        <v>4.3493304016537877</v>
      </c>
      <c r="I27" s="78">
        <v>0.5</v>
      </c>
      <c r="J27" s="79">
        <v>198241</v>
      </c>
      <c r="K27" s="79">
        <v>165766</v>
      </c>
      <c r="L27" s="80">
        <v>7671390</v>
      </c>
      <c r="M27" s="80">
        <v>108502742</v>
      </c>
      <c r="N27" s="80">
        <v>317040546</v>
      </c>
      <c r="O27" s="80">
        <f t="shared" si="2"/>
        <v>433214678</v>
      </c>
      <c r="P27" s="80">
        <f t="shared" si="3"/>
        <v>3092134</v>
      </c>
      <c r="Q27" s="80">
        <f t="shared" si="4"/>
        <v>47705944</v>
      </c>
      <c r="R27" s="80">
        <f t="shared" si="5"/>
        <v>67520696</v>
      </c>
      <c r="S27" s="80">
        <f t="shared" si="6"/>
        <v>118318774</v>
      </c>
      <c r="T27" s="81">
        <v>17922386</v>
      </c>
      <c r="U27" s="81">
        <v>178178657</v>
      </c>
      <c r="V27" s="81">
        <v>434242556</v>
      </c>
      <c r="W27" s="80">
        <f t="shared" si="7"/>
        <v>630343599</v>
      </c>
      <c r="X27" s="80">
        <v>10763524</v>
      </c>
      <c r="Y27" s="80">
        <v>156208686</v>
      </c>
      <c r="Z27" s="80">
        <v>384561242</v>
      </c>
      <c r="AA27" s="80">
        <f t="shared" si="8"/>
        <v>551533452</v>
      </c>
      <c r="AB27" s="82"/>
      <c r="AC27" s="82"/>
      <c r="AD27" s="82"/>
      <c r="AE27" s="82"/>
      <c r="AF27" s="82"/>
      <c r="AG27" s="82"/>
      <c r="AH27" s="82">
        <v>1</v>
      </c>
      <c r="AI27" s="82"/>
      <c r="AJ27" s="82">
        <v>1</v>
      </c>
      <c r="AK27" s="82"/>
      <c r="AL27" s="82"/>
      <c r="AM27" s="82"/>
      <c r="AN27" s="82"/>
      <c r="AO27" s="58"/>
      <c r="AP27" s="58"/>
      <c r="AQ27" s="58"/>
      <c r="AR27" s="58"/>
      <c r="AS27" s="58"/>
      <c r="AT27" s="58"/>
      <c r="AU27" s="58"/>
      <c r="AV27" s="58"/>
      <c r="AW27" s="58"/>
      <c r="AX27" s="58"/>
      <c r="AY27" s="58"/>
      <c r="AZ27" s="82">
        <f t="shared" si="9"/>
        <v>1</v>
      </c>
      <c r="BA27" s="82">
        <f t="shared" si="10"/>
        <v>0</v>
      </c>
      <c r="BB27" s="82">
        <f t="shared" si="11"/>
        <v>1</v>
      </c>
      <c r="BC27" s="82">
        <f t="shared" si="12"/>
        <v>0</v>
      </c>
      <c r="BD27" s="82">
        <f t="shared" si="13"/>
        <v>0</v>
      </c>
      <c r="BE27" s="82">
        <f t="shared" si="14"/>
        <v>0</v>
      </c>
      <c r="BF27" s="82">
        <f t="shared" si="15"/>
        <v>5381762</v>
      </c>
      <c r="BG27" s="82">
        <f t="shared" si="16"/>
        <v>0.5</v>
      </c>
      <c r="BH27" s="82">
        <f t="shared" si="17"/>
        <v>5381762.5</v>
      </c>
      <c r="BI27" s="58">
        <f t="shared" si="18"/>
        <v>4</v>
      </c>
      <c r="BJ27" s="58"/>
      <c r="BK27" s="84">
        <f t="shared" si="19"/>
        <v>0</v>
      </c>
      <c r="BL27" s="58" t="s">
        <v>69</v>
      </c>
      <c r="BM27" s="58">
        <v>50</v>
      </c>
    </row>
    <row r="28" spans="1:65" ht="13.8">
      <c r="A28" s="71" t="s">
        <v>68</v>
      </c>
      <c r="B28" s="73" t="s">
        <v>100</v>
      </c>
      <c r="C28" s="74">
        <v>0.85664597678397214</v>
      </c>
      <c r="D28" s="75">
        <v>0.90257796257796252</v>
      </c>
      <c r="E28" s="76">
        <f t="shared" si="20"/>
        <v>0.87547363269871603</v>
      </c>
      <c r="F28" s="76">
        <f t="shared" si="21"/>
        <v>0.70065463011621798</v>
      </c>
      <c r="G28" s="76">
        <v>0.59563338780765607</v>
      </c>
      <c r="H28" s="77">
        <v>5.7395203474520446</v>
      </c>
      <c r="I28" s="78">
        <v>0.5</v>
      </c>
      <c r="J28" s="79">
        <v>214565</v>
      </c>
      <c r="K28" s="79">
        <v>187846</v>
      </c>
      <c r="L28" s="80">
        <v>9341159</v>
      </c>
      <c r="M28" s="80">
        <v>143344568</v>
      </c>
      <c r="N28" s="80">
        <v>337852807</v>
      </c>
      <c r="O28" s="80">
        <f t="shared" si="2"/>
        <v>490538534</v>
      </c>
      <c r="P28" s="80">
        <f t="shared" si="3"/>
        <v>5055050</v>
      </c>
      <c r="Q28" s="80">
        <f t="shared" si="4"/>
        <v>65402377</v>
      </c>
      <c r="R28" s="80">
        <f t="shared" si="5"/>
        <v>58376946</v>
      </c>
      <c r="S28" s="80">
        <f t="shared" si="6"/>
        <v>128834373</v>
      </c>
      <c r="T28" s="81">
        <v>26875498</v>
      </c>
      <c r="U28" s="81">
        <v>231385657</v>
      </c>
      <c r="V28" s="81">
        <v>441853442</v>
      </c>
      <c r="W28" s="80">
        <f t="shared" si="7"/>
        <v>700114597</v>
      </c>
      <c r="X28" s="80">
        <v>14396209</v>
      </c>
      <c r="Y28" s="80">
        <v>208746945</v>
      </c>
      <c r="Z28" s="80">
        <v>396229753</v>
      </c>
      <c r="AA28" s="80">
        <f t="shared" si="8"/>
        <v>619372907</v>
      </c>
      <c r="AB28" s="82"/>
      <c r="AC28" s="82"/>
      <c r="AD28" s="82"/>
      <c r="AE28" s="82"/>
      <c r="AF28" s="82"/>
      <c r="AG28" s="82"/>
      <c r="AH28" s="82">
        <v>1</v>
      </c>
      <c r="AI28" s="82"/>
      <c r="AJ28" s="82">
        <v>1</v>
      </c>
      <c r="AK28" s="82"/>
      <c r="AL28" s="82"/>
      <c r="AM28" s="82"/>
      <c r="AN28" s="82"/>
      <c r="AO28" s="58"/>
      <c r="AP28" s="58"/>
      <c r="AQ28" s="58"/>
      <c r="AR28" s="58"/>
      <c r="AS28" s="58"/>
      <c r="AT28" s="58"/>
      <c r="AU28" s="58"/>
      <c r="AV28" s="58"/>
      <c r="AW28" s="58"/>
      <c r="AX28" s="58"/>
      <c r="AY28" s="58"/>
      <c r="AZ28" s="82">
        <f t="shared" si="9"/>
        <v>1</v>
      </c>
      <c r="BA28" s="82">
        <f t="shared" si="10"/>
        <v>0</v>
      </c>
      <c r="BB28" s="82">
        <f t="shared" si="11"/>
        <v>1</v>
      </c>
      <c r="BC28" s="82">
        <f t="shared" si="12"/>
        <v>0</v>
      </c>
      <c r="BD28" s="82">
        <f t="shared" si="13"/>
        <v>0</v>
      </c>
      <c r="BE28" s="82">
        <f t="shared" si="14"/>
        <v>0</v>
      </c>
      <c r="BF28" s="82">
        <f t="shared" si="15"/>
        <v>7198104.5</v>
      </c>
      <c r="BG28" s="82">
        <f t="shared" si="16"/>
        <v>0.5</v>
      </c>
      <c r="BH28" s="82">
        <f t="shared" si="17"/>
        <v>7198105</v>
      </c>
      <c r="BI28" s="58">
        <f t="shared" si="18"/>
        <v>4</v>
      </c>
      <c r="BJ28" s="58"/>
      <c r="BK28" s="84">
        <f t="shared" si="19"/>
        <v>0</v>
      </c>
      <c r="BL28" s="58" t="s">
        <v>68</v>
      </c>
      <c r="BM28" s="58">
        <v>50</v>
      </c>
    </row>
    <row r="29" spans="1:65" ht="13.8">
      <c r="A29" s="71" t="s">
        <v>67</v>
      </c>
      <c r="B29" s="73" t="s">
        <v>100</v>
      </c>
      <c r="C29" s="74">
        <v>0.92227666483020554</v>
      </c>
      <c r="D29" s="75">
        <v>0.90529040273320216</v>
      </c>
      <c r="E29" s="76">
        <f t="shared" si="20"/>
        <v>0.80553585063671518</v>
      </c>
      <c r="F29" s="76">
        <f t="shared" si="21"/>
        <v>0.71425791623718493</v>
      </c>
      <c r="G29" s="76">
        <v>0.65958635484988326</v>
      </c>
      <c r="H29" s="77">
        <v>6.3730287248452839</v>
      </c>
      <c r="I29" s="78">
        <v>0.64059999999999995</v>
      </c>
      <c r="J29" s="79">
        <v>811980</v>
      </c>
      <c r="K29" s="79">
        <v>654079</v>
      </c>
      <c r="L29" s="80">
        <v>5164539.37</v>
      </c>
      <c r="M29" s="80">
        <v>195624916.94999999</v>
      </c>
      <c r="N29" s="80">
        <v>768942059.50999999</v>
      </c>
      <c r="O29" s="80">
        <f t="shared" si="2"/>
        <v>969731515.82999992</v>
      </c>
      <c r="P29" s="80">
        <f t="shared" si="3"/>
        <v>3336971.8500000006</v>
      </c>
      <c r="Q29" s="80">
        <f t="shared" si="4"/>
        <v>159280161.11000001</v>
      </c>
      <c r="R29" s="80">
        <f t="shared" si="5"/>
        <v>164677852.33000004</v>
      </c>
      <c r="S29" s="80">
        <f t="shared" si="6"/>
        <v>327294985.2900002</v>
      </c>
      <c r="T29" s="81">
        <v>16414166.9</v>
      </c>
      <c r="U29" s="81">
        <v>339671616.36000001</v>
      </c>
      <c r="V29" s="81">
        <v>1001591175.98</v>
      </c>
      <c r="W29" s="80">
        <f t="shared" si="7"/>
        <v>1357676959.24</v>
      </c>
      <c r="X29" s="80">
        <v>8501511.2200000007</v>
      </c>
      <c r="Y29" s="80">
        <v>354905078.06</v>
      </c>
      <c r="Z29" s="80">
        <v>933619911.84000003</v>
      </c>
      <c r="AA29" s="80">
        <f t="shared" si="8"/>
        <v>1297026501.1200001</v>
      </c>
      <c r="AB29" s="82"/>
      <c r="AC29" s="82"/>
      <c r="AD29" s="82"/>
      <c r="AE29" s="82"/>
      <c r="AF29" s="82"/>
      <c r="AG29" s="82"/>
      <c r="AH29" s="82">
        <v>1</v>
      </c>
      <c r="AI29" s="82"/>
      <c r="AJ29" s="82">
        <v>1</v>
      </c>
      <c r="AK29" s="82"/>
      <c r="AL29" s="82"/>
      <c r="AM29" s="82"/>
      <c r="AN29" s="82"/>
      <c r="AO29" s="58"/>
      <c r="AP29" s="58"/>
      <c r="AQ29" s="58"/>
      <c r="AR29" s="58"/>
      <c r="AS29" s="58"/>
      <c r="AT29" s="58"/>
      <c r="AU29" s="58"/>
      <c r="AV29" s="58"/>
      <c r="AW29" s="58"/>
      <c r="AX29" s="58"/>
      <c r="AY29" s="58"/>
      <c r="AZ29" s="82">
        <f t="shared" si="9"/>
        <v>1</v>
      </c>
      <c r="BA29" s="82">
        <f t="shared" si="10"/>
        <v>0</v>
      </c>
      <c r="BB29" s="82">
        <f t="shared" si="11"/>
        <v>1</v>
      </c>
      <c r="BC29" s="82">
        <f t="shared" si="12"/>
        <v>0</v>
      </c>
      <c r="BD29" s="82">
        <f t="shared" si="13"/>
        <v>0</v>
      </c>
      <c r="BE29" s="82">
        <f t="shared" si="14"/>
        <v>0</v>
      </c>
      <c r="BF29" s="82">
        <f t="shared" si="15"/>
        <v>3055443.1324680005</v>
      </c>
      <c r="BG29" s="82">
        <f t="shared" si="16"/>
        <v>0.35940000000000005</v>
      </c>
      <c r="BH29" s="82">
        <f t="shared" si="17"/>
        <v>3055443.4918680005</v>
      </c>
      <c r="BI29" s="58">
        <f t="shared" si="18"/>
        <v>4</v>
      </c>
      <c r="BJ29" s="58"/>
      <c r="BK29" s="84">
        <f t="shared" si="19"/>
        <v>0</v>
      </c>
      <c r="BL29" s="58" t="s">
        <v>67</v>
      </c>
      <c r="BM29" s="58">
        <v>65.150000000000006</v>
      </c>
    </row>
    <row r="30" spans="1:65" ht="13.8">
      <c r="A30" s="71" t="s">
        <v>66</v>
      </c>
      <c r="B30" s="73" t="s">
        <v>102</v>
      </c>
      <c r="C30" s="74">
        <v>1.0122665722630322</v>
      </c>
      <c r="D30" s="75" t="s">
        <v>103</v>
      </c>
      <c r="E30" s="76">
        <f t="shared" si="20"/>
        <v>0.88319346684083411</v>
      </c>
      <c r="F30" s="76">
        <f t="shared" si="21"/>
        <v>0.7493702549098975</v>
      </c>
      <c r="G30" s="76">
        <v>0.72449431828254351</v>
      </c>
      <c r="H30" s="77">
        <v>3.2663433802769801</v>
      </c>
      <c r="I30" s="78">
        <v>0.5</v>
      </c>
      <c r="J30" s="79">
        <v>212822</v>
      </c>
      <c r="K30" s="79">
        <v>187963</v>
      </c>
      <c r="L30" s="80">
        <v>10580747</v>
      </c>
      <c r="M30" s="80">
        <v>146358535</v>
      </c>
      <c r="N30" s="80">
        <v>277401960</v>
      </c>
      <c r="O30" s="80">
        <f t="shared" si="2"/>
        <v>434341242</v>
      </c>
      <c r="P30" s="80">
        <f t="shared" si="3"/>
        <v>3054074</v>
      </c>
      <c r="Q30" s="80">
        <f t="shared" si="4"/>
        <v>66926280</v>
      </c>
      <c r="R30" s="80">
        <f t="shared" si="5"/>
        <v>59386405</v>
      </c>
      <c r="S30" s="80">
        <f t="shared" si="6"/>
        <v>129366759</v>
      </c>
      <c r="T30" s="81">
        <v>21184400</v>
      </c>
      <c r="U30" s="81">
        <v>213214766</v>
      </c>
      <c r="V30" s="81">
        <v>345209164</v>
      </c>
      <c r="W30" s="80">
        <f t="shared" si="7"/>
        <v>579608330</v>
      </c>
      <c r="X30" s="80">
        <v>13634821</v>
      </c>
      <c r="Y30" s="80">
        <v>213284815</v>
      </c>
      <c r="Z30" s="80">
        <v>336788365</v>
      </c>
      <c r="AA30" s="80">
        <f t="shared" si="8"/>
        <v>563708001</v>
      </c>
      <c r="AB30" s="82"/>
      <c r="AC30" s="82"/>
      <c r="AD30" s="82"/>
      <c r="AE30" s="82"/>
      <c r="AF30" s="82"/>
      <c r="AG30" s="82"/>
      <c r="AH30" s="82">
        <v>1</v>
      </c>
      <c r="AI30" s="82"/>
      <c r="AJ30" s="82">
        <v>1</v>
      </c>
      <c r="AK30" s="82"/>
      <c r="AL30" s="82"/>
      <c r="AM30" s="82"/>
      <c r="AN30" s="82"/>
      <c r="AO30" s="58"/>
      <c r="AP30" s="58"/>
      <c r="AQ30" s="58"/>
      <c r="AR30" s="58"/>
      <c r="AS30" s="58"/>
      <c r="AT30" s="58"/>
      <c r="AU30" s="58"/>
      <c r="AV30" s="58"/>
      <c r="AW30" s="58"/>
      <c r="AX30" s="58"/>
      <c r="AY30" s="58"/>
      <c r="AZ30" s="82">
        <f t="shared" si="9"/>
        <v>1</v>
      </c>
      <c r="BA30" s="82">
        <f t="shared" si="10"/>
        <v>0</v>
      </c>
      <c r="BB30" s="82">
        <f t="shared" si="11"/>
        <v>1</v>
      </c>
      <c r="BC30" s="82">
        <f t="shared" si="12"/>
        <v>0</v>
      </c>
      <c r="BD30" s="82">
        <f t="shared" si="13"/>
        <v>0</v>
      </c>
      <c r="BE30" s="82">
        <f t="shared" si="14"/>
        <v>0</v>
      </c>
      <c r="BF30" s="82">
        <f t="shared" si="15"/>
        <v>6817410.5</v>
      </c>
      <c r="BG30" s="82">
        <f t="shared" si="16"/>
        <v>0.5</v>
      </c>
      <c r="BH30" s="82">
        <f t="shared" si="17"/>
        <v>6817411</v>
      </c>
      <c r="BI30" s="58">
        <f t="shared" si="18"/>
        <v>4</v>
      </c>
      <c r="BJ30" s="58"/>
      <c r="BK30" s="84">
        <f t="shared" si="19"/>
        <v>0</v>
      </c>
      <c r="BL30" s="58" t="s">
        <v>66</v>
      </c>
      <c r="BM30" s="58">
        <v>50</v>
      </c>
    </row>
    <row r="31" spans="1:65" ht="13.8">
      <c r="A31" s="71" t="s">
        <v>65</v>
      </c>
      <c r="B31" s="73" t="s">
        <v>102</v>
      </c>
      <c r="C31" s="74">
        <v>0.97675883740405822</v>
      </c>
      <c r="D31" s="75" t="s">
        <v>103</v>
      </c>
      <c r="E31" s="76">
        <f t="shared" si="20"/>
        <v>0.83775684931506844</v>
      </c>
      <c r="F31" s="76">
        <f t="shared" si="21"/>
        <v>0.54391577562470694</v>
      </c>
      <c r="G31" s="76">
        <v>0.58550502301182761</v>
      </c>
      <c r="H31" s="77">
        <v>10.84515436311151</v>
      </c>
      <c r="I31" s="78">
        <v>0.76980000000000004</v>
      </c>
      <c r="J31" s="79">
        <v>268640</v>
      </c>
      <c r="K31" s="79">
        <v>225055</v>
      </c>
      <c r="L31" s="80">
        <v>3613136</v>
      </c>
      <c r="M31" s="80">
        <v>51649803</v>
      </c>
      <c r="N31" s="80">
        <v>200497849</v>
      </c>
      <c r="O31" s="80">
        <f t="shared" si="2"/>
        <v>255760788</v>
      </c>
      <c r="P31" s="80">
        <f t="shared" si="3"/>
        <v>2386416</v>
      </c>
      <c r="Q31" s="80">
        <f t="shared" si="4"/>
        <v>29944308</v>
      </c>
      <c r="R31" s="80">
        <f t="shared" si="5"/>
        <v>69334426</v>
      </c>
      <c r="S31" s="80">
        <f t="shared" si="6"/>
        <v>101665150</v>
      </c>
      <c r="T31" s="81">
        <v>12159989</v>
      </c>
      <c r="U31" s="81">
        <v>108367506</v>
      </c>
      <c r="V31" s="81">
        <v>349693814</v>
      </c>
      <c r="W31" s="80">
        <f t="shared" si="7"/>
        <v>470221309</v>
      </c>
      <c r="X31" s="80">
        <v>5999552</v>
      </c>
      <c r="Y31" s="80">
        <v>81594111</v>
      </c>
      <c r="Z31" s="80">
        <v>269832275</v>
      </c>
      <c r="AA31" s="80">
        <f t="shared" si="8"/>
        <v>357425938</v>
      </c>
      <c r="AB31" s="82"/>
      <c r="AC31" s="82"/>
      <c r="AD31" s="82"/>
      <c r="AE31" s="82"/>
      <c r="AF31" s="82"/>
      <c r="AG31" s="82"/>
      <c r="AH31" s="82">
        <v>1</v>
      </c>
      <c r="AI31" s="82"/>
      <c r="AJ31" s="82">
        <v>1</v>
      </c>
      <c r="AK31" s="82"/>
      <c r="AL31" s="82"/>
      <c r="AM31" s="82"/>
      <c r="AN31" s="82"/>
      <c r="AO31" s="58"/>
      <c r="AP31" s="58"/>
      <c r="AQ31" s="58"/>
      <c r="AR31" s="58"/>
      <c r="AS31" s="58"/>
      <c r="AT31" s="58"/>
      <c r="AU31" s="58"/>
      <c r="AV31" s="58"/>
      <c r="AW31" s="58"/>
      <c r="AX31" s="58"/>
      <c r="AY31" s="58"/>
      <c r="AZ31" s="82">
        <f t="shared" si="9"/>
        <v>1</v>
      </c>
      <c r="BA31" s="82">
        <f t="shared" si="10"/>
        <v>0</v>
      </c>
      <c r="BB31" s="82">
        <f t="shared" si="11"/>
        <v>1</v>
      </c>
      <c r="BC31" s="82">
        <f t="shared" si="12"/>
        <v>0</v>
      </c>
      <c r="BD31" s="82">
        <f t="shared" si="13"/>
        <v>0</v>
      </c>
      <c r="BE31" s="82">
        <f t="shared" si="14"/>
        <v>0</v>
      </c>
      <c r="BF31" s="82">
        <f t="shared" si="15"/>
        <v>1381096.8703999997</v>
      </c>
      <c r="BG31" s="82">
        <f t="shared" si="16"/>
        <v>0.23019999999999996</v>
      </c>
      <c r="BH31" s="82">
        <f t="shared" si="17"/>
        <v>1381097.1005999998</v>
      </c>
      <c r="BI31" s="58">
        <f t="shared" si="18"/>
        <v>4</v>
      </c>
      <c r="BJ31" s="58"/>
      <c r="BK31" s="84">
        <f t="shared" si="19"/>
        <v>0</v>
      </c>
      <c r="BL31" s="58" t="s">
        <v>65</v>
      </c>
      <c r="BM31" s="58">
        <v>74.63</v>
      </c>
    </row>
    <row r="32" spans="1:65" ht="13.8">
      <c r="A32" s="71" t="s">
        <v>64</v>
      </c>
      <c r="B32" s="73" t="s">
        <v>100</v>
      </c>
      <c r="C32" s="74">
        <v>0.97352202210844196</v>
      </c>
      <c r="D32" s="75">
        <v>0.88929790509336726</v>
      </c>
      <c r="E32" s="76">
        <f t="shared" si="20"/>
        <v>0.88335726382446067</v>
      </c>
      <c r="F32" s="76">
        <f t="shared" si="21"/>
        <v>0.60422863795591475</v>
      </c>
      <c r="G32" s="76">
        <v>0.60834539618604067</v>
      </c>
      <c r="H32" s="77">
        <v>8.6908004947884976</v>
      </c>
      <c r="I32" s="78">
        <v>0.65649999999999997</v>
      </c>
      <c r="J32" s="79">
        <v>325944</v>
      </c>
      <c r="K32" s="79">
        <v>287925</v>
      </c>
      <c r="L32" s="80">
        <v>2865811</v>
      </c>
      <c r="M32" s="80">
        <v>147208030</v>
      </c>
      <c r="N32" s="80">
        <v>284834529</v>
      </c>
      <c r="O32" s="80">
        <f t="shared" si="2"/>
        <v>434908370</v>
      </c>
      <c r="P32" s="80">
        <f t="shared" si="3"/>
        <v>2929641</v>
      </c>
      <c r="Q32" s="80">
        <f t="shared" si="4"/>
        <v>103116647</v>
      </c>
      <c r="R32" s="80">
        <f t="shared" si="5"/>
        <v>110611561</v>
      </c>
      <c r="S32" s="80">
        <f t="shared" si="6"/>
        <v>216657849</v>
      </c>
      <c r="T32" s="81">
        <v>15388556</v>
      </c>
      <c r="U32" s="81">
        <v>281547984</v>
      </c>
      <c r="V32" s="81">
        <v>422837967</v>
      </c>
      <c r="W32" s="80">
        <f t="shared" si="7"/>
        <v>719774507</v>
      </c>
      <c r="X32" s="80">
        <v>5795452</v>
      </c>
      <c r="Y32" s="80">
        <v>250324677</v>
      </c>
      <c r="Z32" s="80">
        <v>395446090</v>
      </c>
      <c r="AA32" s="80">
        <f t="shared" si="8"/>
        <v>651566219</v>
      </c>
      <c r="AB32" s="82"/>
      <c r="AC32" s="82"/>
      <c r="AD32" s="82"/>
      <c r="AE32" s="82"/>
      <c r="AF32" s="82"/>
      <c r="AG32" s="82"/>
      <c r="AH32" s="82">
        <v>1</v>
      </c>
      <c r="AI32" s="82"/>
      <c r="AJ32" s="82">
        <v>1</v>
      </c>
      <c r="AK32" s="82"/>
      <c r="AL32" s="82"/>
      <c r="AM32" s="82"/>
      <c r="AN32" s="82"/>
      <c r="AO32" s="58"/>
      <c r="AP32" s="58"/>
      <c r="AQ32" s="58"/>
      <c r="AR32" s="58"/>
      <c r="AS32" s="58"/>
      <c r="AT32" s="58"/>
      <c r="AU32" s="58"/>
      <c r="AV32" s="58"/>
      <c r="AW32" s="58"/>
      <c r="AX32" s="58"/>
      <c r="AY32" s="58"/>
      <c r="AZ32" s="82">
        <f t="shared" si="9"/>
        <v>1</v>
      </c>
      <c r="BA32" s="82">
        <f t="shared" si="10"/>
        <v>0</v>
      </c>
      <c r="BB32" s="82">
        <f t="shared" si="11"/>
        <v>1</v>
      </c>
      <c r="BC32" s="82">
        <f t="shared" si="12"/>
        <v>0</v>
      </c>
      <c r="BD32" s="82">
        <f t="shared" si="13"/>
        <v>0</v>
      </c>
      <c r="BE32" s="82">
        <f t="shared" si="14"/>
        <v>0</v>
      </c>
      <c r="BF32" s="82">
        <f t="shared" si="15"/>
        <v>1990737.7620000001</v>
      </c>
      <c r="BG32" s="82">
        <f t="shared" si="16"/>
        <v>0.34350000000000003</v>
      </c>
      <c r="BH32" s="82">
        <f t="shared" si="17"/>
        <v>1990738.1055000001</v>
      </c>
      <c r="BI32" s="58">
        <f t="shared" si="18"/>
        <v>4</v>
      </c>
      <c r="BJ32" s="58"/>
      <c r="BK32" s="84">
        <f t="shared" si="19"/>
        <v>0</v>
      </c>
      <c r="BL32" s="58" t="s">
        <v>64</v>
      </c>
      <c r="BM32" s="58">
        <v>63.21</v>
      </c>
    </row>
    <row r="33" spans="1:65" ht="13.8">
      <c r="A33" s="71" t="s">
        <v>63</v>
      </c>
      <c r="B33" s="73" t="s">
        <v>102</v>
      </c>
      <c r="C33" s="74">
        <v>1.0595059424816453</v>
      </c>
      <c r="D33" s="75">
        <v>0.74871073605250815</v>
      </c>
      <c r="E33" s="76">
        <f t="shared" si="20"/>
        <v>0.89110341713081442</v>
      </c>
      <c r="F33" s="76">
        <f t="shared" si="21"/>
        <v>0.6449850133846895</v>
      </c>
      <c r="G33" s="76">
        <v>0.65459124972791438</v>
      </c>
      <c r="H33" s="77">
        <v>4.6353638031029192</v>
      </c>
      <c r="I33" s="78">
        <v>0.64780000000000004</v>
      </c>
      <c r="J33" s="79">
        <v>33215</v>
      </c>
      <c r="K33" s="79">
        <v>29598</v>
      </c>
      <c r="L33" s="80">
        <v>1238466</v>
      </c>
      <c r="M33" s="80">
        <v>14104892</v>
      </c>
      <c r="N33" s="80">
        <v>33431362</v>
      </c>
      <c r="O33" s="80">
        <f t="shared" si="2"/>
        <v>48774720</v>
      </c>
      <c r="P33" s="80">
        <f t="shared" si="3"/>
        <v>659323</v>
      </c>
      <c r="Q33" s="80">
        <f t="shared" si="4"/>
        <v>8080039</v>
      </c>
      <c r="R33" s="80">
        <f t="shared" si="5"/>
        <v>9201088</v>
      </c>
      <c r="S33" s="80">
        <f t="shared" si="6"/>
        <v>17940450</v>
      </c>
      <c r="T33" s="81">
        <v>3965008</v>
      </c>
      <c r="U33" s="81">
        <v>24912772</v>
      </c>
      <c r="V33" s="81">
        <v>46743698</v>
      </c>
      <c r="W33" s="80">
        <f t="shared" si="7"/>
        <v>75621478</v>
      </c>
      <c r="X33" s="80">
        <v>1897789</v>
      </c>
      <c r="Y33" s="80">
        <v>22184931</v>
      </c>
      <c r="Z33" s="80">
        <v>42632450</v>
      </c>
      <c r="AA33" s="80">
        <f t="shared" si="8"/>
        <v>66715170</v>
      </c>
      <c r="AB33" s="82"/>
      <c r="AC33" s="82"/>
      <c r="AD33" s="82"/>
      <c r="AE33" s="82"/>
      <c r="AF33" s="82"/>
      <c r="AG33" s="82"/>
      <c r="AH33" s="82">
        <v>1</v>
      </c>
      <c r="AI33" s="82"/>
      <c r="AJ33" s="82">
        <v>1</v>
      </c>
      <c r="AK33" s="82"/>
      <c r="AL33" s="82"/>
      <c r="AM33" s="82"/>
      <c r="AN33" s="82"/>
      <c r="AO33" s="58"/>
      <c r="AP33" s="58"/>
      <c r="AQ33" s="58"/>
      <c r="AR33" s="58"/>
      <c r="AS33" s="58"/>
      <c r="AT33" s="58"/>
      <c r="AU33" s="58"/>
      <c r="AV33" s="58"/>
      <c r="AW33" s="58"/>
      <c r="AX33" s="58"/>
      <c r="AY33" s="58"/>
      <c r="AZ33" s="82">
        <f t="shared" si="9"/>
        <v>1</v>
      </c>
      <c r="BA33" s="82">
        <f t="shared" si="10"/>
        <v>0</v>
      </c>
      <c r="BB33" s="82">
        <f t="shared" si="11"/>
        <v>1</v>
      </c>
      <c r="BC33" s="82">
        <f t="shared" si="12"/>
        <v>0</v>
      </c>
      <c r="BD33" s="82">
        <f t="shared" si="13"/>
        <v>0</v>
      </c>
      <c r="BE33" s="82">
        <f t="shared" si="14"/>
        <v>0</v>
      </c>
      <c r="BF33" s="82">
        <f t="shared" si="15"/>
        <v>668401.28579999995</v>
      </c>
      <c r="BG33" s="82">
        <f t="shared" si="16"/>
        <v>0.35219999999999996</v>
      </c>
      <c r="BH33" s="82">
        <f t="shared" si="17"/>
        <v>668401.63799999992</v>
      </c>
      <c r="BI33" s="58">
        <f t="shared" si="18"/>
        <v>4</v>
      </c>
      <c r="BJ33" s="58"/>
      <c r="BK33" s="84">
        <f t="shared" si="19"/>
        <v>0</v>
      </c>
      <c r="BL33" s="58" t="s">
        <v>63</v>
      </c>
      <c r="BM33" s="58">
        <v>65.56</v>
      </c>
    </row>
    <row r="34" spans="1:65" ht="13.8">
      <c r="A34" s="71" t="s">
        <v>62</v>
      </c>
      <c r="B34" s="73" t="s">
        <v>100</v>
      </c>
      <c r="C34" s="74">
        <v>0.99336288855290467</v>
      </c>
      <c r="D34" s="75">
        <v>0.94774319513035488</v>
      </c>
      <c r="E34" s="76">
        <f t="shared" si="20"/>
        <v>0.87500119037415836</v>
      </c>
      <c r="F34" s="76">
        <f t="shared" si="21"/>
        <v>0.70621658631167283</v>
      </c>
      <c r="G34" s="76">
        <v>0.68533500084678423</v>
      </c>
      <c r="H34" s="77">
        <v>5.911281370098032</v>
      </c>
      <c r="I34" s="78">
        <v>0.54720000000000002</v>
      </c>
      <c r="J34" s="79">
        <v>105009</v>
      </c>
      <c r="K34" s="79">
        <v>91883</v>
      </c>
      <c r="L34" s="80">
        <v>2057730</v>
      </c>
      <c r="M34" s="80">
        <v>59434791</v>
      </c>
      <c r="N34" s="80">
        <v>104940270</v>
      </c>
      <c r="O34" s="80">
        <f t="shared" si="2"/>
        <v>166432791</v>
      </c>
      <c r="P34" s="80">
        <f t="shared" si="3"/>
        <v>952749</v>
      </c>
      <c r="Q34" s="80">
        <f t="shared" si="4"/>
        <v>25976297</v>
      </c>
      <c r="R34" s="80">
        <f t="shared" si="5"/>
        <v>22610770</v>
      </c>
      <c r="S34" s="80">
        <f t="shared" si="6"/>
        <v>49539816</v>
      </c>
      <c r="T34" s="81">
        <v>6034929</v>
      </c>
      <c r="U34" s="81">
        <v>93094164</v>
      </c>
      <c r="V34" s="81">
        <v>136539106</v>
      </c>
      <c r="W34" s="80">
        <f t="shared" si="7"/>
        <v>235668199</v>
      </c>
      <c r="X34" s="80">
        <v>3010479</v>
      </c>
      <c r="Y34" s="80">
        <v>85411088</v>
      </c>
      <c r="Z34" s="80">
        <v>127551040</v>
      </c>
      <c r="AA34" s="80">
        <f t="shared" si="8"/>
        <v>215972607</v>
      </c>
      <c r="AB34" s="82"/>
      <c r="AC34" s="82"/>
      <c r="AD34" s="82"/>
      <c r="AE34" s="82"/>
      <c r="AF34" s="82"/>
      <c r="AG34" s="82"/>
      <c r="AH34" s="82">
        <v>1</v>
      </c>
      <c r="AI34" s="82"/>
      <c r="AJ34" s="82">
        <v>1</v>
      </c>
      <c r="AK34" s="82"/>
      <c r="AL34" s="82"/>
      <c r="AM34" s="82"/>
      <c r="AN34" s="82"/>
      <c r="AO34" s="58"/>
      <c r="AP34" s="58"/>
      <c r="AQ34" s="58"/>
      <c r="AR34" s="58"/>
      <c r="AS34" s="58"/>
      <c r="AT34" s="58"/>
      <c r="AU34" s="58"/>
      <c r="AV34" s="58"/>
      <c r="AW34" s="58"/>
      <c r="AX34" s="58"/>
      <c r="AY34" s="58"/>
      <c r="AZ34" s="82">
        <f t="shared" si="9"/>
        <v>1</v>
      </c>
      <c r="BA34" s="82">
        <f t="shared" si="10"/>
        <v>0</v>
      </c>
      <c r="BB34" s="82">
        <f t="shared" si="11"/>
        <v>1</v>
      </c>
      <c r="BC34" s="82">
        <f t="shared" si="12"/>
        <v>0</v>
      </c>
      <c r="BD34" s="82">
        <f t="shared" si="13"/>
        <v>0</v>
      </c>
      <c r="BE34" s="82">
        <f t="shared" si="14"/>
        <v>0</v>
      </c>
      <c r="BF34" s="82">
        <f t="shared" si="15"/>
        <v>1363144.8912</v>
      </c>
      <c r="BG34" s="82">
        <f t="shared" si="16"/>
        <v>0.45279999999999998</v>
      </c>
      <c r="BH34" s="82">
        <f t="shared" si="17"/>
        <v>1363145.344</v>
      </c>
      <c r="BI34" s="58">
        <f t="shared" si="18"/>
        <v>4</v>
      </c>
      <c r="BJ34" s="58"/>
      <c r="BK34" s="84">
        <f t="shared" si="19"/>
        <v>0</v>
      </c>
      <c r="BL34" s="58" t="s">
        <v>62</v>
      </c>
      <c r="BM34" s="58">
        <v>51.85</v>
      </c>
    </row>
    <row r="35" spans="1:65" ht="13.8">
      <c r="A35" s="71" t="s">
        <v>61</v>
      </c>
      <c r="B35" s="73" t="s">
        <v>102</v>
      </c>
      <c r="C35" s="74">
        <v>1.2644946766992413</v>
      </c>
      <c r="D35" s="75" t="s">
        <v>103</v>
      </c>
      <c r="E35" s="76">
        <f t="shared" si="20"/>
        <v>0.89467519596360034</v>
      </c>
      <c r="F35" s="76">
        <f t="shared" si="21"/>
        <v>0.67451746738853524</v>
      </c>
      <c r="G35" s="76">
        <v>0.67368421052631577</v>
      </c>
      <c r="H35" s="77">
        <v>3.5496805740610831</v>
      </c>
      <c r="I35" s="78">
        <v>0.63929999999999998</v>
      </c>
      <c r="J35" s="79">
        <v>88792</v>
      </c>
      <c r="K35" s="79">
        <v>79440</v>
      </c>
      <c r="L35" s="80">
        <v>1471407</v>
      </c>
      <c r="M35" s="80">
        <v>30972226</v>
      </c>
      <c r="N35" s="80">
        <v>119253620</v>
      </c>
      <c r="O35" s="80">
        <f t="shared" si="2"/>
        <v>151697253</v>
      </c>
      <c r="P35" s="80">
        <f t="shared" si="3"/>
        <v>870973</v>
      </c>
      <c r="Q35" s="80">
        <f t="shared" si="4"/>
        <v>18474762</v>
      </c>
      <c r="R35" s="80">
        <f t="shared" si="5"/>
        <v>32151943</v>
      </c>
      <c r="S35" s="80">
        <f t="shared" si="6"/>
        <v>51497678</v>
      </c>
      <c r="T35" s="81">
        <v>5234122</v>
      </c>
      <c r="U35" s="81">
        <v>55285569</v>
      </c>
      <c r="V35" s="81">
        <v>164377751</v>
      </c>
      <c r="W35" s="80">
        <f t="shared" si="7"/>
        <v>224897442</v>
      </c>
      <c r="X35" s="80">
        <v>2342380</v>
      </c>
      <c r="Y35" s="80">
        <v>49446988</v>
      </c>
      <c r="Z35" s="80">
        <v>151405563</v>
      </c>
      <c r="AA35" s="80">
        <f t="shared" si="8"/>
        <v>203194931</v>
      </c>
      <c r="AB35" s="82"/>
      <c r="AC35" s="82"/>
      <c r="AD35" s="82"/>
      <c r="AE35" s="82"/>
      <c r="AF35" s="82"/>
      <c r="AG35" s="82"/>
      <c r="AH35" s="82">
        <v>1</v>
      </c>
      <c r="AI35" s="82"/>
      <c r="AJ35" s="82">
        <v>1</v>
      </c>
      <c r="AK35" s="82"/>
      <c r="AL35" s="82"/>
      <c r="AM35" s="82"/>
      <c r="AN35" s="82"/>
      <c r="AO35" s="58"/>
      <c r="AP35" s="58"/>
      <c r="AQ35" s="58"/>
      <c r="AR35" s="58"/>
      <c r="AS35" s="58"/>
      <c r="AT35" s="58"/>
      <c r="AU35" s="58"/>
      <c r="AV35" s="58"/>
      <c r="AW35" s="58"/>
      <c r="AX35" s="58"/>
      <c r="AY35" s="58"/>
      <c r="AZ35" s="82">
        <f t="shared" si="9"/>
        <v>1</v>
      </c>
      <c r="BA35" s="82">
        <f t="shared" si="10"/>
        <v>0</v>
      </c>
      <c r="BB35" s="82">
        <f t="shared" si="11"/>
        <v>1</v>
      </c>
      <c r="BC35" s="82">
        <f t="shared" si="12"/>
        <v>0</v>
      </c>
      <c r="BD35" s="82">
        <f t="shared" si="13"/>
        <v>0</v>
      </c>
      <c r="BE35" s="82">
        <f t="shared" si="14"/>
        <v>0</v>
      </c>
      <c r="BF35" s="82">
        <f t="shared" si="15"/>
        <v>844896.46600000001</v>
      </c>
      <c r="BG35" s="82">
        <f t="shared" si="16"/>
        <v>0.36070000000000002</v>
      </c>
      <c r="BH35" s="82">
        <f t="shared" si="17"/>
        <v>844896.82669999998</v>
      </c>
      <c r="BI35" s="58">
        <f t="shared" si="18"/>
        <v>4</v>
      </c>
      <c r="BJ35" s="58"/>
      <c r="BK35" s="84">
        <f t="shared" si="19"/>
        <v>0</v>
      </c>
      <c r="BL35" s="58" t="s">
        <v>61</v>
      </c>
      <c r="BM35" s="58">
        <v>64.67</v>
      </c>
    </row>
    <row r="36" spans="1:65" ht="13.8">
      <c r="A36" s="71" t="s">
        <v>60</v>
      </c>
      <c r="B36" s="73" t="s">
        <v>102</v>
      </c>
      <c r="C36" s="74">
        <v>1.0453941850712889</v>
      </c>
      <c r="D36" s="75">
        <v>0.96795499021526421</v>
      </c>
      <c r="E36" s="76">
        <f t="shared" si="20"/>
        <v>0.81976481830488679</v>
      </c>
      <c r="F36" s="76">
        <f t="shared" si="21"/>
        <v>0.64947944263905799</v>
      </c>
      <c r="G36" s="76">
        <v>0.66567552499535398</v>
      </c>
      <c r="H36" s="77">
        <v>3.1786869101084996</v>
      </c>
      <c r="I36" s="78">
        <v>0.5</v>
      </c>
      <c r="J36" s="79">
        <v>37673</v>
      </c>
      <c r="K36" s="79">
        <v>30883</v>
      </c>
      <c r="L36" s="80">
        <v>1984669.61</v>
      </c>
      <c r="M36" s="80">
        <v>19373113.579999998</v>
      </c>
      <c r="N36" s="80">
        <v>36939392.119999997</v>
      </c>
      <c r="O36" s="80">
        <f t="shared" si="2"/>
        <v>58297175.309999995</v>
      </c>
      <c r="P36" s="80">
        <f t="shared" si="3"/>
        <v>822069.90999999992</v>
      </c>
      <c r="Q36" s="80">
        <f t="shared" si="4"/>
        <v>9090099.2599999979</v>
      </c>
      <c r="R36" s="80">
        <f t="shared" si="5"/>
        <v>9666092.5500000045</v>
      </c>
      <c r="S36" s="80">
        <f t="shared" si="6"/>
        <v>19578261.720000006</v>
      </c>
      <c r="T36" s="81">
        <v>5170203.79</v>
      </c>
      <c r="U36" s="81">
        <v>31762077.039999999</v>
      </c>
      <c r="V36" s="81">
        <v>52827566.030000001</v>
      </c>
      <c r="W36" s="80">
        <f t="shared" si="7"/>
        <v>89759846.859999999</v>
      </c>
      <c r="X36" s="80">
        <v>2806739.52</v>
      </c>
      <c r="Y36" s="80">
        <v>28463212.839999996</v>
      </c>
      <c r="Z36" s="80">
        <v>46605484.670000002</v>
      </c>
      <c r="AA36" s="80">
        <f t="shared" si="8"/>
        <v>77875437.030000001</v>
      </c>
      <c r="AB36" s="82"/>
      <c r="AC36" s="82"/>
      <c r="AD36" s="82"/>
      <c r="AE36" s="82"/>
      <c r="AF36" s="82"/>
      <c r="AG36" s="82"/>
      <c r="AH36" s="82">
        <v>1</v>
      </c>
      <c r="AI36" s="82"/>
      <c r="AJ36" s="82">
        <v>1</v>
      </c>
      <c r="AK36" s="82"/>
      <c r="AL36" s="82"/>
      <c r="AM36" s="82"/>
      <c r="AN36" s="82"/>
      <c r="AO36" s="58"/>
      <c r="AP36" s="58"/>
      <c r="AQ36" s="58"/>
      <c r="AR36" s="58"/>
      <c r="AS36" s="58"/>
      <c r="AT36" s="58"/>
      <c r="AU36" s="58"/>
      <c r="AV36" s="58"/>
      <c r="AW36" s="58"/>
      <c r="AX36" s="58"/>
      <c r="AY36" s="58"/>
      <c r="AZ36" s="82">
        <f t="shared" si="9"/>
        <v>1</v>
      </c>
      <c r="BA36" s="82">
        <f t="shared" si="10"/>
        <v>0</v>
      </c>
      <c r="BB36" s="82">
        <f t="shared" si="11"/>
        <v>1</v>
      </c>
      <c r="BC36" s="82">
        <f t="shared" si="12"/>
        <v>0</v>
      </c>
      <c r="BD36" s="82">
        <f t="shared" si="13"/>
        <v>0</v>
      </c>
      <c r="BE36" s="82">
        <f t="shared" si="14"/>
        <v>0</v>
      </c>
      <c r="BF36" s="82">
        <f t="shared" si="15"/>
        <v>1403369.76</v>
      </c>
      <c r="BG36" s="82">
        <f t="shared" si="16"/>
        <v>0.5</v>
      </c>
      <c r="BH36" s="82">
        <f t="shared" si="17"/>
        <v>1403370.26</v>
      </c>
      <c r="BI36" s="58">
        <f t="shared" si="18"/>
        <v>4</v>
      </c>
      <c r="BJ36" s="58"/>
      <c r="BK36" s="84">
        <f t="shared" si="19"/>
        <v>0</v>
      </c>
      <c r="BL36" s="58" t="s">
        <v>60</v>
      </c>
      <c r="BM36" s="58">
        <v>50</v>
      </c>
    </row>
    <row r="37" spans="1:65" ht="13.8">
      <c r="A37" s="71" t="s">
        <v>59</v>
      </c>
      <c r="B37" s="73" t="s">
        <v>100</v>
      </c>
      <c r="C37" s="74">
        <v>0.9727216367017979</v>
      </c>
      <c r="D37" s="75">
        <v>0.94016059514672023</v>
      </c>
      <c r="E37" s="76">
        <f t="shared" si="20"/>
        <v>0.87679025022969248</v>
      </c>
      <c r="F37" s="76">
        <f t="shared" si="21"/>
        <v>0.68676144940442352</v>
      </c>
      <c r="G37" s="76">
        <v>0.67943789678922717</v>
      </c>
      <c r="H37" s="77">
        <v>4.6492403373097835</v>
      </c>
      <c r="I37" s="78">
        <v>0.5</v>
      </c>
      <c r="J37" s="79">
        <v>296048</v>
      </c>
      <c r="K37" s="79">
        <v>259572</v>
      </c>
      <c r="L37" s="80">
        <v>7399427</v>
      </c>
      <c r="M37" s="80">
        <v>159110112</v>
      </c>
      <c r="N37" s="80">
        <v>705750898</v>
      </c>
      <c r="O37" s="80">
        <f t="shared" si="2"/>
        <v>872260437</v>
      </c>
      <c r="P37" s="80">
        <f t="shared" si="3"/>
        <v>3076195</v>
      </c>
      <c r="Q37" s="80">
        <f t="shared" si="4"/>
        <v>88424970</v>
      </c>
      <c r="R37" s="80">
        <f t="shared" si="5"/>
        <v>132257201</v>
      </c>
      <c r="S37" s="80">
        <f t="shared" si="6"/>
        <v>223758366</v>
      </c>
      <c r="T37" s="81">
        <v>33027944</v>
      </c>
      <c r="U37" s="81">
        <v>305117421</v>
      </c>
      <c r="V37" s="81">
        <v>931961508</v>
      </c>
      <c r="W37" s="80">
        <f t="shared" si="7"/>
        <v>1270106873</v>
      </c>
      <c r="X37" s="80">
        <v>10475622</v>
      </c>
      <c r="Y37" s="80">
        <v>247535082</v>
      </c>
      <c r="Z37" s="80">
        <v>838008099</v>
      </c>
      <c r="AA37" s="80">
        <f t="shared" si="8"/>
        <v>1096018803</v>
      </c>
      <c r="AB37" s="82"/>
      <c r="AC37" s="82"/>
      <c r="AD37" s="82"/>
      <c r="AE37" s="82"/>
      <c r="AF37" s="82"/>
      <c r="AG37" s="82"/>
      <c r="AH37" s="82">
        <v>1</v>
      </c>
      <c r="AI37" s="82"/>
      <c r="AJ37" s="82">
        <v>1</v>
      </c>
      <c r="AK37" s="82"/>
      <c r="AL37" s="82"/>
      <c r="AM37" s="82"/>
      <c r="AN37" s="82"/>
      <c r="AO37" s="58"/>
      <c r="AP37" s="58"/>
      <c r="AQ37" s="58"/>
      <c r="AR37" s="58"/>
      <c r="AS37" s="58"/>
      <c r="AT37" s="58"/>
      <c r="AU37" s="58"/>
      <c r="AV37" s="58"/>
      <c r="AW37" s="58"/>
      <c r="AX37" s="58"/>
      <c r="AY37" s="58"/>
      <c r="AZ37" s="82">
        <f t="shared" si="9"/>
        <v>1</v>
      </c>
      <c r="BA37" s="82">
        <f t="shared" si="10"/>
        <v>0</v>
      </c>
      <c r="BB37" s="82">
        <f t="shared" si="11"/>
        <v>1</v>
      </c>
      <c r="BC37" s="82">
        <f t="shared" si="12"/>
        <v>0</v>
      </c>
      <c r="BD37" s="82">
        <f t="shared" si="13"/>
        <v>0</v>
      </c>
      <c r="BE37" s="82">
        <f t="shared" si="14"/>
        <v>0</v>
      </c>
      <c r="BF37" s="82">
        <f t="shared" si="15"/>
        <v>5237811</v>
      </c>
      <c r="BG37" s="82">
        <f t="shared" si="16"/>
        <v>0.5</v>
      </c>
      <c r="BH37" s="82">
        <f t="shared" si="17"/>
        <v>5237811.5</v>
      </c>
      <c r="BI37" s="58">
        <f t="shared" si="18"/>
        <v>4</v>
      </c>
      <c r="BJ37" s="58"/>
      <c r="BK37" s="84">
        <f t="shared" si="19"/>
        <v>0</v>
      </c>
      <c r="BL37" s="58" t="s">
        <v>59</v>
      </c>
      <c r="BM37" s="58">
        <v>50</v>
      </c>
    </row>
    <row r="38" spans="1:65" ht="13.8">
      <c r="A38" s="71" t="s">
        <v>58</v>
      </c>
      <c r="B38" s="73" t="s">
        <v>102</v>
      </c>
      <c r="C38" s="74">
        <v>0.96529968454258674</v>
      </c>
      <c r="D38" s="75" t="s">
        <v>103</v>
      </c>
      <c r="E38" s="76">
        <f t="shared" si="20"/>
        <v>0.77500337629987548</v>
      </c>
      <c r="F38" s="76">
        <f t="shared" si="21"/>
        <v>0.55391352002762362</v>
      </c>
      <c r="G38" s="76">
        <v>0.64323377918931579</v>
      </c>
      <c r="H38" s="77">
        <v>3.5514759237143223</v>
      </c>
      <c r="I38" s="78">
        <v>0.72709999999999997</v>
      </c>
      <c r="J38" s="79">
        <v>66641</v>
      </c>
      <c r="K38" s="79">
        <v>51647</v>
      </c>
      <c r="L38" s="80">
        <v>1581633</v>
      </c>
      <c r="M38" s="80">
        <v>37311125</v>
      </c>
      <c r="N38" s="80">
        <v>46444398</v>
      </c>
      <c r="O38" s="80">
        <f t="shared" ref="O38:O69" si="22">SUM(L38:N38)</f>
        <v>85337156</v>
      </c>
      <c r="P38" s="80">
        <f t="shared" ref="P38:P59" si="23">IFERROR(X38-L38,0)</f>
        <v>996744</v>
      </c>
      <c r="Q38" s="80">
        <f t="shared" ref="Q38:Q59" si="24">IFERROR(Y38-M38,0)</f>
        <v>23754454</v>
      </c>
      <c r="R38" s="80">
        <f t="shared" ref="R38:R59" si="25">IFERROR(Z38-N38,0)</f>
        <v>16591689</v>
      </c>
      <c r="S38" s="80">
        <f t="shared" ref="S38:S59" si="26">AA38-O38</f>
        <v>41342887</v>
      </c>
      <c r="T38" s="81">
        <v>6453372</v>
      </c>
      <c r="U38" s="81">
        <v>71606447</v>
      </c>
      <c r="V38" s="81">
        <v>76002418</v>
      </c>
      <c r="W38" s="80">
        <f t="shared" ref="W38:W69" si="27">SUM(T38:V38)</f>
        <v>154062237</v>
      </c>
      <c r="X38" s="80">
        <v>2578377</v>
      </c>
      <c r="Y38" s="80">
        <v>61065579</v>
      </c>
      <c r="Z38" s="80">
        <v>63036087</v>
      </c>
      <c r="AA38" s="80">
        <f t="shared" ref="AA38:AA69" si="28">SUM(X38:Z38)</f>
        <v>126680043</v>
      </c>
      <c r="AB38" s="82"/>
      <c r="AC38" s="82"/>
      <c r="AD38" s="82"/>
      <c r="AE38" s="82"/>
      <c r="AF38" s="82"/>
      <c r="AG38" s="82"/>
      <c r="AH38" s="82">
        <v>1</v>
      </c>
      <c r="AI38" s="82"/>
      <c r="AJ38" s="82">
        <v>1</v>
      </c>
      <c r="AK38" s="82"/>
      <c r="AL38" s="82"/>
      <c r="AM38" s="82"/>
      <c r="AN38" s="82"/>
      <c r="AO38" s="58"/>
      <c r="AP38" s="58"/>
      <c r="AQ38" s="58"/>
      <c r="AR38" s="58"/>
      <c r="AS38" s="58"/>
      <c r="AT38" s="58"/>
      <c r="AU38" s="58"/>
      <c r="AV38" s="58"/>
      <c r="AW38" s="58"/>
      <c r="AX38" s="58"/>
      <c r="AY38" s="58"/>
      <c r="AZ38" s="82">
        <f t="shared" si="9"/>
        <v>1</v>
      </c>
      <c r="BA38" s="82">
        <f t="shared" si="10"/>
        <v>0</v>
      </c>
      <c r="BB38" s="82">
        <f t="shared" si="11"/>
        <v>1</v>
      </c>
      <c r="BC38" s="82">
        <f t="shared" si="12"/>
        <v>0</v>
      </c>
      <c r="BD38" s="82">
        <f t="shared" si="13"/>
        <v>0</v>
      </c>
      <c r="BE38" s="82">
        <f t="shared" si="14"/>
        <v>0</v>
      </c>
      <c r="BF38" s="82">
        <f t="shared" si="15"/>
        <v>703639.08330000006</v>
      </c>
      <c r="BG38" s="82">
        <f t="shared" si="16"/>
        <v>0.27290000000000003</v>
      </c>
      <c r="BH38" s="82">
        <f t="shared" si="17"/>
        <v>703639.35620000004</v>
      </c>
      <c r="BI38" s="58">
        <f t="shared" si="18"/>
        <v>4</v>
      </c>
      <c r="BJ38" s="58"/>
      <c r="BK38" s="84">
        <f t="shared" ref="BK38:BK69" si="29">IF(BL38=A38,0,1)</f>
        <v>0</v>
      </c>
      <c r="BL38" s="58" t="s">
        <v>58</v>
      </c>
      <c r="BM38" s="58">
        <v>71.13</v>
      </c>
    </row>
    <row r="39" spans="1:65" ht="13.8">
      <c r="A39" s="71" t="s">
        <v>57</v>
      </c>
      <c r="B39" s="73" t="s">
        <v>100</v>
      </c>
      <c r="C39" s="74">
        <v>0.88376747424274327</v>
      </c>
      <c r="D39" s="75">
        <v>0.91093664788220319</v>
      </c>
      <c r="E39" s="76">
        <f t="shared" si="20"/>
        <v>0.87242838738249084</v>
      </c>
      <c r="F39" s="76">
        <f t="shared" si="21"/>
        <v>0.66979817198485259</v>
      </c>
      <c r="G39" s="76">
        <v>0.57294659182755525</v>
      </c>
      <c r="H39" s="77">
        <v>4.8118450071558971</v>
      </c>
      <c r="I39" s="78">
        <v>0.5</v>
      </c>
      <c r="J39" s="79">
        <v>794832</v>
      </c>
      <c r="K39" s="79">
        <v>693434</v>
      </c>
      <c r="L39" s="80">
        <v>60623455</v>
      </c>
      <c r="M39" s="80">
        <v>240763917</v>
      </c>
      <c r="N39" s="80">
        <v>1041624733</v>
      </c>
      <c r="O39" s="80">
        <f t="shared" si="22"/>
        <v>1343012105</v>
      </c>
      <c r="P39" s="80">
        <f t="shared" si="23"/>
        <v>7202819</v>
      </c>
      <c r="Q39" s="80">
        <f t="shared" si="24"/>
        <v>264631404</v>
      </c>
      <c r="R39" s="80">
        <f t="shared" si="25"/>
        <v>209768856</v>
      </c>
      <c r="S39" s="80">
        <f t="shared" si="26"/>
        <v>481603079</v>
      </c>
      <c r="T39" s="81">
        <v>148209337</v>
      </c>
      <c r="U39" s="81">
        <v>418337027</v>
      </c>
      <c r="V39" s="81">
        <v>1438553323</v>
      </c>
      <c r="W39" s="80">
        <f t="shared" si="27"/>
        <v>2005099687</v>
      </c>
      <c r="X39" s="80">
        <v>67826274</v>
      </c>
      <c r="Y39" s="80">
        <v>505395321</v>
      </c>
      <c r="Z39" s="80">
        <v>1251393589</v>
      </c>
      <c r="AA39" s="80">
        <f t="shared" si="28"/>
        <v>1824615184</v>
      </c>
      <c r="AB39" s="82"/>
      <c r="AC39" s="82"/>
      <c r="AD39" s="82"/>
      <c r="AE39" s="82"/>
      <c r="AF39" s="82"/>
      <c r="AG39" s="82"/>
      <c r="AH39" s="82">
        <v>1</v>
      </c>
      <c r="AI39" s="82"/>
      <c r="AJ39" s="82">
        <v>1</v>
      </c>
      <c r="AK39" s="82"/>
      <c r="AL39" s="82"/>
      <c r="AM39" s="82"/>
      <c r="AN39" s="82"/>
      <c r="AO39" s="58"/>
      <c r="AP39" s="58"/>
      <c r="AQ39" s="58"/>
      <c r="AR39" s="58"/>
      <c r="AS39" s="58"/>
      <c r="AT39" s="58"/>
      <c r="AU39" s="58"/>
      <c r="AV39" s="58"/>
      <c r="AW39" s="58"/>
      <c r="AX39" s="58"/>
      <c r="AY39" s="58"/>
      <c r="AZ39" s="82">
        <f t="shared" si="9"/>
        <v>1</v>
      </c>
      <c r="BA39" s="82">
        <f t="shared" si="10"/>
        <v>0</v>
      </c>
      <c r="BB39" s="82">
        <f t="shared" si="11"/>
        <v>1</v>
      </c>
      <c r="BC39" s="82">
        <f t="shared" si="12"/>
        <v>0</v>
      </c>
      <c r="BD39" s="82">
        <f t="shared" si="13"/>
        <v>0</v>
      </c>
      <c r="BE39" s="82">
        <f t="shared" si="14"/>
        <v>0</v>
      </c>
      <c r="BF39" s="82">
        <f t="shared" si="15"/>
        <v>33913137</v>
      </c>
      <c r="BG39" s="82">
        <f t="shared" si="16"/>
        <v>0.5</v>
      </c>
      <c r="BH39" s="82">
        <f t="shared" si="17"/>
        <v>33913137.5</v>
      </c>
      <c r="BI39" s="58">
        <f t="shared" si="18"/>
        <v>4</v>
      </c>
      <c r="BJ39" s="58"/>
      <c r="BK39" s="84">
        <f t="shared" si="29"/>
        <v>0</v>
      </c>
      <c r="BL39" s="58" t="s">
        <v>57</v>
      </c>
      <c r="BM39" s="58">
        <v>50</v>
      </c>
    </row>
    <row r="40" spans="1:65" ht="13.8">
      <c r="A40" s="71" t="s">
        <v>56</v>
      </c>
      <c r="B40" s="73" t="s">
        <v>102</v>
      </c>
      <c r="C40" s="74">
        <v>1.0130150381010183</v>
      </c>
      <c r="D40" s="75" t="s">
        <v>103</v>
      </c>
      <c r="E40" s="76">
        <f t="shared" si="20"/>
        <v>0.85260914225738493</v>
      </c>
      <c r="F40" s="76">
        <f t="shared" si="21"/>
        <v>0.67983544004438545</v>
      </c>
      <c r="G40" s="76">
        <v>0.66857575904158406</v>
      </c>
      <c r="H40" s="77">
        <v>4.5659907555285635</v>
      </c>
      <c r="I40" s="78">
        <v>0.67030000000000001</v>
      </c>
      <c r="J40" s="79">
        <v>402067</v>
      </c>
      <c r="K40" s="79">
        <v>342806</v>
      </c>
      <c r="L40" s="80">
        <v>7747761</v>
      </c>
      <c r="M40" s="80">
        <v>124296060</v>
      </c>
      <c r="N40" s="80">
        <v>395571748</v>
      </c>
      <c r="O40" s="80">
        <f t="shared" si="22"/>
        <v>527615569</v>
      </c>
      <c r="P40" s="80">
        <f t="shared" si="23"/>
        <v>3422196</v>
      </c>
      <c r="Q40" s="80">
        <f t="shared" si="24"/>
        <v>72007178</v>
      </c>
      <c r="R40" s="80">
        <f t="shared" si="25"/>
        <v>86473872</v>
      </c>
      <c r="S40" s="80">
        <f t="shared" si="26"/>
        <v>161903246</v>
      </c>
      <c r="T40" s="81">
        <v>20285217</v>
      </c>
      <c r="U40" s="81">
        <v>209763220</v>
      </c>
      <c r="V40" s="81">
        <v>546044626</v>
      </c>
      <c r="W40" s="80">
        <f t="shared" si="27"/>
        <v>776093063</v>
      </c>
      <c r="X40" s="80">
        <v>11169957</v>
      </c>
      <c r="Y40" s="80">
        <v>196303238</v>
      </c>
      <c r="Z40" s="80">
        <v>482045620</v>
      </c>
      <c r="AA40" s="80">
        <f t="shared" si="28"/>
        <v>689518815</v>
      </c>
      <c r="AB40" s="82"/>
      <c r="AC40" s="82"/>
      <c r="AD40" s="82"/>
      <c r="AE40" s="82"/>
      <c r="AF40" s="82"/>
      <c r="AG40" s="82"/>
      <c r="AH40" s="82">
        <v>1</v>
      </c>
      <c r="AI40" s="82"/>
      <c r="AJ40" s="82">
        <v>1</v>
      </c>
      <c r="AK40" s="82"/>
      <c r="AL40" s="82"/>
      <c r="AM40" s="82"/>
      <c r="AN40" s="82"/>
      <c r="AO40" s="58"/>
      <c r="AP40" s="58"/>
      <c r="AQ40" s="58"/>
      <c r="AR40" s="58"/>
      <c r="AS40" s="58"/>
      <c r="AT40" s="58"/>
      <c r="AU40" s="58"/>
      <c r="AV40" s="58"/>
      <c r="AW40" s="58"/>
      <c r="AX40" s="58"/>
      <c r="AY40" s="58"/>
      <c r="AZ40" s="82">
        <f t="shared" si="9"/>
        <v>1</v>
      </c>
      <c r="BA40" s="82">
        <f t="shared" si="10"/>
        <v>0</v>
      </c>
      <c r="BB40" s="82">
        <f t="shared" si="11"/>
        <v>1</v>
      </c>
      <c r="BC40" s="82">
        <f t="shared" si="12"/>
        <v>0</v>
      </c>
      <c r="BD40" s="82">
        <f t="shared" si="13"/>
        <v>0</v>
      </c>
      <c r="BE40" s="82">
        <f t="shared" si="14"/>
        <v>0</v>
      </c>
      <c r="BF40" s="82">
        <f t="shared" si="15"/>
        <v>3682734.8229</v>
      </c>
      <c r="BG40" s="82">
        <f t="shared" si="16"/>
        <v>0.32969999999999999</v>
      </c>
      <c r="BH40" s="82">
        <f t="shared" si="17"/>
        <v>3682735.1526000001</v>
      </c>
      <c r="BI40" s="58">
        <f t="shared" si="18"/>
        <v>4</v>
      </c>
      <c r="BJ40" s="58"/>
      <c r="BK40" s="84">
        <f t="shared" si="29"/>
        <v>0</v>
      </c>
      <c r="BL40" s="58" t="s">
        <v>56</v>
      </c>
      <c r="BM40" s="58">
        <v>66.88</v>
      </c>
    </row>
    <row r="41" spans="1:65" ht="13.8">
      <c r="A41" s="71" t="s">
        <v>55</v>
      </c>
      <c r="B41" s="73" t="s">
        <v>102</v>
      </c>
      <c r="C41" s="74">
        <v>1.0555105944673338</v>
      </c>
      <c r="D41" s="75" t="s">
        <v>103</v>
      </c>
      <c r="E41" s="76">
        <f t="shared" si="20"/>
        <v>0.92505130325584239</v>
      </c>
      <c r="F41" s="76">
        <f t="shared" si="21"/>
        <v>0.75300506771151643</v>
      </c>
      <c r="G41" s="76">
        <v>0.65797301218804416</v>
      </c>
      <c r="H41" s="77">
        <v>6.2190960893266256</v>
      </c>
      <c r="I41" s="78">
        <v>0.50049999999999994</v>
      </c>
      <c r="J41" s="79">
        <v>32649</v>
      </c>
      <c r="K41" s="79">
        <v>30202</v>
      </c>
      <c r="L41" s="80">
        <v>1560513</v>
      </c>
      <c r="M41" s="80">
        <v>16584540</v>
      </c>
      <c r="N41" s="80">
        <v>64208792</v>
      </c>
      <c r="O41" s="80">
        <f t="shared" si="22"/>
        <v>82353845</v>
      </c>
      <c r="P41" s="80">
        <f t="shared" si="23"/>
        <v>195793</v>
      </c>
      <c r="Q41" s="80">
        <f t="shared" si="24"/>
        <v>9574228</v>
      </c>
      <c r="R41" s="80">
        <f t="shared" si="25"/>
        <v>9967122</v>
      </c>
      <c r="S41" s="80">
        <f t="shared" si="26"/>
        <v>19737143</v>
      </c>
      <c r="T41" s="81">
        <v>3847966</v>
      </c>
      <c r="U41" s="81">
        <v>26439547</v>
      </c>
      <c r="V41" s="81">
        <v>79079407</v>
      </c>
      <c r="W41" s="80">
        <f t="shared" si="27"/>
        <v>109366920</v>
      </c>
      <c r="X41" s="80">
        <v>1756306</v>
      </c>
      <c r="Y41" s="80">
        <v>26158768</v>
      </c>
      <c r="Z41" s="80">
        <v>74175914</v>
      </c>
      <c r="AA41" s="80">
        <f t="shared" si="28"/>
        <v>102090988</v>
      </c>
      <c r="AB41" s="82"/>
      <c r="AC41" s="82"/>
      <c r="AD41" s="82"/>
      <c r="AE41" s="82"/>
      <c r="AF41" s="82"/>
      <c r="AG41" s="82"/>
      <c r="AH41" s="82">
        <v>1</v>
      </c>
      <c r="AI41" s="82"/>
      <c r="AJ41" s="82">
        <v>1</v>
      </c>
      <c r="AK41" s="82"/>
      <c r="AL41" s="82"/>
      <c r="AM41" s="82"/>
      <c r="AN41" s="82"/>
      <c r="AO41" s="58"/>
      <c r="AP41" s="58"/>
      <c r="AQ41" s="58"/>
      <c r="AR41" s="58"/>
      <c r="AS41" s="58"/>
      <c r="AT41" s="58"/>
      <c r="AU41" s="58"/>
      <c r="AV41" s="58"/>
      <c r="AW41" s="58"/>
      <c r="AX41" s="58"/>
      <c r="AY41" s="58"/>
      <c r="AZ41" s="82">
        <f t="shared" si="9"/>
        <v>1</v>
      </c>
      <c r="BA41" s="82">
        <f t="shared" si="10"/>
        <v>0</v>
      </c>
      <c r="BB41" s="82">
        <f t="shared" si="11"/>
        <v>1</v>
      </c>
      <c r="BC41" s="82">
        <f t="shared" si="12"/>
        <v>0</v>
      </c>
      <c r="BD41" s="82">
        <f t="shared" si="13"/>
        <v>0</v>
      </c>
      <c r="BE41" s="82">
        <f t="shared" si="14"/>
        <v>0</v>
      </c>
      <c r="BF41" s="82">
        <f t="shared" si="15"/>
        <v>877274.84700000007</v>
      </c>
      <c r="BG41" s="82">
        <f t="shared" si="16"/>
        <v>0.49950000000000011</v>
      </c>
      <c r="BH41" s="82">
        <f t="shared" si="17"/>
        <v>877275.3465000001</v>
      </c>
      <c r="BI41" s="58">
        <f t="shared" si="18"/>
        <v>4</v>
      </c>
      <c r="BJ41" s="58"/>
      <c r="BK41" s="84">
        <f t="shared" si="29"/>
        <v>0</v>
      </c>
      <c r="BL41" s="58" t="s">
        <v>55</v>
      </c>
      <c r="BM41" s="58">
        <v>50</v>
      </c>
    </row>
    <row r="42" spans="1:65" ht="13.8">
      <c r="A42" s="71" t="s">
        <v>54</v>
      </c>
      <c r="B42" s="73" t="s">
        <v>100</v>
      </c>
      <c r="C42" s="74">
        <v>0.98369083138456581</v>
      </c>
      <c r="D42" s="75">
        <v>0.93524813052345346</v>
      </c>
      <c r="E42" s="76">
        <f t="shared" si="20"/>
        <v>0.91488853375058643</v>
      </c>
      <c r="F42" s="76">
        <f t="shared" si="21"/>
        <v>0.69577875678389445</v>
      </c>
      <c r="G42" s="76">
        <v>0.6611539675650081</v>
      </c>
      <c r="H42" s="77">
        <v>6.2754589098990188</v>
      </c>
      <c r="I42" s="78">
        <v>0.63019999999999998</v>
      </c>
      <c r="J42" s="79">
        <v>807823</v>
      </c>
      <c r="K42" s="79">
        <v>739068</v>
      </c>
      <c r="L42" s="80">
        <v>22998096</v>
      </c>
      <c r="M42" s="80">
        <v>257079051</v>
      </c>
      <c r="N42" s="80">
        <v>979509697</v>
      </c>
      <c r="O42" s="80">
        <f t="shared" si="22"/>
        <v>1259586844</v>
      </c>
      <c r="P42" s="80">
        <f t="shared" si="23"/>
        <v>11863286</v>
      </c>
      <c r="Q42" s="80">
        <f t="shared" si="24"/>
        <v>173657099</v>
      </c>
      <c r="R42" s="80">
        <f t="shared" si="25"/>
        <v>172941554</v>
      </c>
      <c r="S42" s="80">
        <f t="shared" si="26"/>
        <v>358461939</v>
      </c>
      <c r="T42" s="81">
        <v>78130241</v>
      </c>
      <c r="U42" s="81">
        <v>480649291</v>
      </c>
      <c r="V42" s="81">
        <v>1251547144</v>
      </c>
      <c r="W42" s="80">
        <f t="shared" si="27"/>
        <v>1810326676</v>
      </c>
      <c r="X42" s="80">
        <v>34861382</v>
      </c>
      <c r="Y42" s="80">
        <v>430736150</v>
      </c>
      <c r="Z42" s="80">
        <v>1152451251</v>
      </c>
      <c r="AA42" s="80">
        <f t="shared" si="28"/>
        <v>1618048783</v>
      </c>
      <c r="AB42" s="82"/>
      <c r="AC42" s="82"/>
      <c r="AD42" s="82"/>
      <c r="AE42" s="82"/>
      <c r="AF42" s="82"/>
      <c r="AG42" s="82"/>
      <c r="AH42" s="82">
        <v>1</v>
      </c>
      <c r="AI42" s="82"/>
      <c r="AJ42" s="82">
        <v>1</v>
      </c>
      <c r="AK42" s="82"/>
      <c r="AL42" s="82"/>
      <c r="AM42" s="82"/>
      <c r="AN42" s="82"/>
      <c r="AO42" s="58"/>
      <c r="AP42" s="58"/>
      <c r="AQ42" s="58"/>
      <c r="AR42" s="58"/>
      <c r="AS42" s="58"/>
      <c r="AT42" s="58"/>
      <c r="AU42" s="58"/>
      <c r="AV42" s="58"/>
      <c r="AW42" s="58"/>
      <c r="AX42" s="58"/>
      <c r="AY42" s="58"/>
      <c r="AZ42" s="82">
        <f t="shared" si="9"/>
        <v>1</v>
      </c>
      <c r="BA42" s="82">
        <f t="shared" si="10"/>
        <v>0</v>
      </c>
      <c r="BB42" s="82">
        <f t="shared" si="11"/>
        <v>1</v>
      </c>
      <c r="BC42" s="82">
        <f t="shared" si="12"/>
        <v>0</v>
      </c>
      <c r="BD42" s="82">
        <f t="shared" si="13"/>
        <v>0</v>
      </c>
      <c r="BE42" s="82">
        <f t="shared" si="14"/>
        <v>0</v>
      </c>
      <c r="BF42" s="82">
        <f t="shared" si="15"/>
        <v>12891739.0636</v>
      </c>
      <c r="BG42" s="82">
        <f t="shared" si="16"/>
        <v>0.36980000000000002</v>
      </c>
      <c r="BH42" s="82">
        <f t="shared" si="17"/>
        <v>12891739.4334</v>
      </c>
      <c r="BI42" s="58">
        <f t="shared" si="18"/>
        <v>4</v>
      </c>
      <c r="BJ42" s="58"/>
      <c r="BK42" s="84">
        <f t="shared" si="29"/>
        <v>0</v>
      </c>
      <c r="BL42" s="58" t="s">
        <v>54</v>
      </c>
      <c r="BM42" s="58">
        <v>62.32</v>
      </c>
    </row>
    <row r="43" spans="1:65" ht="13.8">
      <c r="A43" s="71" t="s">
        <v>53</v>
      </c>
      <c r="B43" s="73" t="s">
        <v>100</v>
      </c>
      <c r="C43" s="74">
        <v>0.80950628802712332</v>
      </c>
      <c r="D43" s="75">
        <v>1.0271186440677966</v>
      </c>
      <c r="E43" s="76">
        <f t="shared" si="20"/>
        <v>0.83290370534372871</v>
      </c>
      <c r="F43" s="76">
        <f t="shared" si="21"/>
        <v>0.55976432155341027</v>
      </c>
      <c r="G43" s="76">
        <v>0.62891043697185733</v>
      </c>
      <c r="H43" s="77">
        <v>7.1599362039136203</v>
      </c>
      <c r="I43" s="78">
        <v>0.66020000000000001</v>
      </c>
      <c r="J43" s="79">
        <v>189699</v>
      </c>
      <c r="K43" s="79">
        <v>158001</v>
      </c>
      <c r="L43" s="80">
        <v>5672719</v>
      </c>
      <c r="M43" s="80">
        <v>42992949</v>
      </c>
      <c r="N43" s="80">
        <v>202810491</v>
      </c>
      <c r="O43" s="80">
        <f t="shared" si="22"/>
        <v>251476159</v>
      </c>
      <c r="P43" s="80">
        <f t="shared" si="23"/>
        <v>3350561</v>
      </c>
      <c r="Q43" s="80">
        <f t="shared" si="24"/>
        <v>32201185</v>
      </c>
      <c r="R43" s="80">
        <f t="shared" si="25"/>
        <v>70590458</v>
      </c>
      <c r="S43" s="80">
        <f t="shared" si="26"/>
        <v>106142204</v>
      </c>
      <c r="T43" s="81">
        <v>20116135</v>
      </c>
      <c r="U43" s="81">
        <v>94537723</v>
      </c>
      <c r="V43" s="81">
        <v>334599782</v>
      </c>
      <c r="W43" s="80">
        <f t="shared" si="27"/>
        <v>449253640</v>
      </c>
      <c r="X43" s="80">
        <v>9023280</v>
      </c>
      <c r="Y43" s="80">
        <v>75194134</v>
      </c>
      <c r="Z43" s="80">
        <v>273400949</v>
      </c>
      <c r="AA43" s="80">
        <f t="shared" si="28"/>
        <v>357618363</v>
      </c>
      <c r="AB43" s="82"/>
      <c r="AC43" s="82"/>
      <c r="AD43" s="82"/>
      <c r="AE43" s="82"/>
      <c r="AF43" s="82"/>
      <c r="AG43" s="82"/>
      <c r="AH43" s="82">
        <v>1</v>
      </c>
      <c r="AI43" s="82"/>
      <c r="AJ43" s="82">
        <v>1</v>
      </c>
      <c r="AK43" s="82"/>
      <c r="AL43" s="82"/>
      <c r="AM43" s="82"/>
      <c r="AN43" s="82"/>
      <c r="AO43" s="58"/>
      <c r="AP43" s="58"/>
      <c r="AQ43" s="58"/>
      <c r="AR43" s="58"/>
      <c r="AS43" s="58"/>
      <c r="AT43" s="58"/>
      <c r="AU43" s="58"/>
      <c r="AV43" s="58"/>
      <c r="AW43" s="58"/>
      <c r="AX43" s="58"/>
      <c r="AY43" s="58"/>
      <c r="AZ43" s="82">
        <f t="shared" si="9"/>
        <v>1</v>
      </c>
      <c r="BA43" s="82">
        <f t="shared" si="10"/>
        <v>0</v>
      </c>
      <c r="BB43" s="82">
        <f t="shared" si="11"/>
        <v>1</v>
      </c>
      <c r="BC43" s="82">
        <f t="shared" si="12"/>
        <v>0</v>
      </c>
      <c r="BD43" s="82">
        <f t="shared" si="13"/>
        <v>0</v>
      </c>
      <c r="BE43" s="82">
        <f t="shared" si="14"/>
        <v>0</v>
      </c>
      <c r="BF43" s="82">
        <f t="shared" si="15"/>
        <v>3066110.5439999998</v>
      </c>
      <c r="BG43" s="82">
        <f t="shared" si="16"/>
        <v>0.33979999999999999</v>
      </c>
      <c r="BH43" s="82">
        <f t="shared" si="17"/>
        <v>3066110.8838</v>
      </c>
      <c r="BI43" s="58">
        <f t="shared" si="18"/>
        <v>4</v>
      </c>
      <c r="BJ43" s="58"/>
      <c r="BK43" s="84">
        <f t="shared" si="29"/>
        <v>0</v>
      </c>
      <c r="BL43" s="58" t="s">
        <v>53</v>
      </c>
      <c r="BM43" s="58">
        <v>59.94</v>
      </c>
    </row>
    <row r="44" spans="1:65" ht="13.8">
      <c r="A44" s="71" t="s">
        <v>52</v>
      </c>
      <c r="B44" s="73" t="s">
        <v>100</v>
      </c>
      <c r="C44" s="74">
        <v>0.92178248080375902</v>
      </c>
      <c r="D44" s="75">
        <v>0.95484844673625957</v>
      </c>
      <c r="E44" s="76">
        <f t="shared" si="20"/>
        <v>0.89432060112711331</v>
      </c>
      <c r="F44" s="76">
        <f t="shared" si="21"/>
        <v>0.64121471998023394</v>
      </c>
      <c r="G44" s="76">
        <v>0.62871944927413315</v>
      </c>
      <c r="H44" s="77">
        <v>3.6005933388821756</v>
      </c>
      <c r="I44" s="78">
        <v>0.61229999999999996</v>
      </c>
      <c r="J44" s="79">
        <v>159700</v>
      </c>
      <c r="K44" s="79">
        <v>142823</v>
      </c>
      <c r="L44" s="80">
        <v>6569493</v>
      </c>
      <c r="M44" s="80">
        <v>115705410</v>
      </c>
      <c r="N44" s="80">
        <v>146132921</v>
      </c>
      <c r="O44" s="80">
        <f t="shared" si="22"/>
        <v>268407824</v>
      </c>
      <c r="P44" s="80">
        <f t="shared" si="23"/>
        <v>3642430</v>
      </c>
      <c r="Q44" s="80">
        <f t="shared" si="24"/>
        <v>61862989</v>
      </c>
      <c r="R44" s="80">
        <f t="shared" si="25"/>
        <v>31103989</v>
      </c>
      <c r="S44" s="80">
        <f t="shared" si="26"/>
        <v>96609408</v>
      </c>
      <c r="T44" s="81">
        <v>21564659</v>
      </c>
      <c r="U44" s="81">
        <v>201395492</v>
      </c>
      <c r="V44" s="81">
        <v>195632585</v>
      </c>
      <c r="W44" s="80">
        <f t="shared" si="27"/>
        <v>418592736</v>
      </c>
      <c r="X44" s="80">
        <v>10211923</v>
      </c>
      <c r="Y44" s="80">
        <v>177568399</v>
      </c>
      <c r="Z44" s="80">
        <v>177236910</v>
      </c>
      <c r="AA44" s="80">
        <f t="shared" si="28"/>
        <v>365017232</v>
      </c>
      <c r="AB44" s="82"/>
      <c r="AC44" s="82"/>
      <c r="AD44" s="82"/>
      <c r="AE44" s="82"/>
      <c r="AF44" s="82"/>
      <c r="AG44" s="82"/>
      <c r="AH44" s="82">
        <v>1</v>
      </c>
      <c r="AI44" s="82"/>
      <c r="AJ44" s="82">
        <v>1</v>
      </c>
      <c r="AK44" s="82"/>
      <c r="AL44" s="82"/>
      <c r="AM44" s="82"/>
      <c r="AN44" s="82"/>
      <c r="AO44" s="58"/>
      <c r="AP44" s="58"/>
      <c r="AQ44" s="58"/>
      <c r="AR44" s="58"/>
      <c r="AS44" s="58"/>
      <c r="AT44" s="58"/>
      <c r="AU44" s="58"/>
      <c r="AV44" s="58"/>
      <c r="AW44" s="58"/>
      <c r="AX44" s="58"/>
      <c r="AY44" s="58"/>
      <c r="AZ44" s="82">
        <f t="shared" si="9"/>
        <v>1</v>
      </c>
      <c r="BA44" s="82">
        <f t="shared" si="10"/>
        <v>0</v>
      </c>
      <c r="BB44" s="82">
        <f t="shared" si="11"/>
        <v>1</v>
      </c>
      <c r="BC44" s="82">
        <f t="shared" si="12"/>
        <v>0</v>
      </c>
      <c r="BD44" s="82">
        <f t="shared" si="13"/>
        <v>0</v>
      </c>
      <c r="BE44" s="82">
        <f t="shared" si="14"/>
        <v>0</v>
      </c>
      <c r="BF44" s="82">
        <f t="shared" si="15"/>
        <v>3959162.5471000005</v>
      </c>
      <c r="BG44" s="82">
        <f t="shared" si="16"/>
        <v>0.38770000000000004</v>
      </c>
      <c r="BH44" s="82">
        <f t="shared" si="17"/>
        <v>3959162.9348000004</v>
      </c>
      <c r="BI44" s="58">
        <f t="shared" si="18"/>
        <v>4</v>
      </c>
      <c r="BJ44" s="58"/>
      <c r="BK44" s="84">
        <f t="shared" si="29"/>
        <v>0</v>
      </c>
      <c r="BL44" s="58" t="s">
        <v>52</v>
      </c>
      <c r="BM44" s="58">
        <v>64.47</v>
      </c>
    </row>
    <row r="45" spans="1:65" ht="13.8">
      <c r="A45" s="71" t="s">
        <v>51</v>
      </c>
      <c r="B45" s="73" t="s">
        <v>100</v>
      </c>
      <c r="C45" s="74">
        <v>1.0574022385745299</v>
      </c>
      <c r="D45" s="75">
        <v>0.95826809057161455</v>
      </c>
      <c r="E45" s="76">
        <f t="shared" si="20"/>
        <v>0.90333100331123062</v>
      </c>
      <c r="F45" s="76">
        <f t="shared" si="21"/>
        <v>0.84256723819545476</v>
      </c>
      <c r="G45" s="76">
        <v>0.84273845363952482</v>
      </c>
      <c r="H45" s="77">
        <v>4.7769100006829435</v>
      </c>
      <c r="I45" s="78">
        <v>0.52249999999999996</v>
      </c>
      <c r="J45" s="79">
        <v>359081</v>
      </c>
      <c r="K45" s="79">
        <v>324369</v>
      </c>
      <c r="L45" s="80">
        <v>16109279</v>
      </c>
      <c r="M45" s="80">
        <v>167551885</v>
      </c>
      <c r="N45" s="80">
        <v>859670832</v>
      </c>
      <c r="O45" s="80">
        <f t="shared" si="22"/>
        <v>1043331996</v>
      </c>
      <c r="P45" s="80">
        <f t="shared" si="23"/>
        <v>6277534</v>
      </c>
      <c r="Q45" s="80">
        <f t="shared" si="24"/>
        <v>56761241</v>
      </c>
      <c r="R45" s="80">
        <f t="shared" si="25"/>
        <v>98806669</v>
      </c>
      <c r="S45" s="80">
        <f t="shared" si="26"/>
        <v>161845444</v>
      </c>
      <c r="T45" s="81">
        <v>27139532</v>
      </c>
      <c r="U45" s="81">
        <v>222065859</v>
      </c>
      <c r="V45" s="81">
        <v>989072041</v>
      </c>
      <c r="W45" s="80">
        <f t="shared" si="27"/>
        <v>1238277432</v>
      </c>
      <c r="X45" s="80">
        <v>22386813</v>
      </c>
      <c r="Y45" s="80">
        <v>224313126</v>
      </c>
      <c r="Z45" s="80">
        <v>958477501</v>
      </c>
      <c r="AA45" s="80">
        <f t="shared" si="28"/>
        <v>1205177440</v>
      </c>
      <c r="AB45" s="82"/>
      <c r="AC45" s="82"/>
      <c r="AD45" s="82"/>
      <c r="AE45" s="82"/>
      <c r="AF45" s="82"/>
      <c r="AG45" s="82"/>
      <c r="AH45" s="82">
        <v>1</v>
      </c>
      <c r="AI45" s="82"/>
      <c r="AJ45" s="82">
        <v>1</v>
      </c>
      <c r="AK45" s="82"/>
      <c r="AL45" s="82"/>
      <c r="AM45" s="82"/>
      <c r="AN45" s="82"/>
      <c r="AO45" s="58"/>
      <c r="AP45" s="58"/>
      <c r="AQ45" s="58"/>
      <c r="AR45" s="58"/>
      <c r="AS45" s="58"/>
      <c r="AT45" s="58"/>
      <c r="AU45" s="58"/>
      <c r="AV45" s="58"/>
      <c r="AW45" s="58"/>
      <c r="AX45" s="58"/>
      <c r="AY45" s="58"/>
      <c r="AZ45" s="82">
        <f t="shared" si="9"/>
        <v>1</v>
      </c>
      <c r="BA45" s="82">
        <f t="shared" si="10"/>
        <v>0</v>
      </c>
      <c r="BB45" s="82">
        <f t="shared" si="11"/>
        <v>1</v>
      </c>
      <c r="BC45" s="82">
        <f t="shared" si="12"/>
        <v>0</v>
      </c>
      <c r="BD45" s="82">
        <f t="shared" si="13"/>
        <v>0</v>
      </c>
      <c r="BE45" s="82">
        <f t="shared" si="14"/>
        <v>0</v>
      </c>
      <c r="BF45" s="82">
        <f t="shared" si="15"/>
        <v>10689703.207500001</v>
      </c>
      <c r="BG45" s="82">
        <f t="shared" si="16"/>
        <v>0.47750000000000004</v>
      </c>
      <c r="BH45" s="82">
        <f t="shared" si="17"/>
        <v>10689703.685000001</v>
      </c>
      <c r="BI45" s="58">
        <f t="shared" si="18"/>
        <v>4</v>
      </c>
      <c r="BJ45" s="58"/>
      <c r="BK45" s="84">
        <f t="shared" si="29"/>
        <v>0</v>
      </c>
      <c r="BL45" s="58" t="s">
        <v>51</v>
      </c>
      <c r="BM45" s="58">
        <v>51.78</v>
      </c>
    </row>
    <row r="46" spans="1:65" ht="13.8">
      <c r="A46" s="71" t="s">
        <v>50</v>
      </c>
      <c r="B46" s="73" t="s">
        <v>100</v>
      </c>
      <c r="C46" s="74" t="s">
        <v>103</v>
      </c>
      <c r="D46" s="75">
        <v>0.79969999999999997</v>
      </c>
      <c r="E46" s="76">
        <v>0.87609999999999999</v>
      </c>
      <c r="F46" s="76">
        <v>0.53710000000000002</v>
      </c>
      <c r="G46" s="76">
        <v>0.44019999999999998</v>
      </c>
      <c r="H46" s="77">
        <v>11.58</v>
      </c>
      <c r="I46" s="78">
        <v>0.55000000000000004</v>
      </c>
      <c r="J46" s="79" t="s">
        <v>103</v>
      </c>
      <c r="K46" s="79" t="s">
        <v>103</v>
      </c>
      <c r="L46" s="80">
        <v>0</v>
      </c>
      <c r="M46" s="80">
        <v>0</v>
      </c>
      <c r="N46" s="80">
        <v>0</v>
      </c>
      <c r="O46" s="80">
        <f t="shared" si="22"/>
        <v>0</v>
      </c>
      <c r="P46" s="80">
        <f t="shared" si="23"/>
        <v>0</v>
      </c>
      <c r="Q46" s="80">
        <f t="shared" si="24"/>
        <v>0</v>
      </c>
      <c r="R46" s="80">
        <f t="shared" si="25"/>
        <v>0</v>
      </c>
      <c r="S46" s="80">
        <f t="shared" si="26"/>
        <v>0</v>
      </c>
      <c r="T46" s="81">
        <v>0</v>
      </c>
      <c r="U46" s="81">
        <v>0</v>
      </c>
      <c r="V46" s="81">
        <v>0</v>
      </c>
      <c r="W46" s="80">
        <f t="shared" si="27"/>
        <v>0</v>
      </c>
      <c r="X46" s="80">
        <v>0</v>
      </c>
      <c r="Y46" s="80">
        <v>0</v>
      </c>
      <c r="Z46" s="80">
        <v>0</v>
      </c>
      <c r="AA46" s="80">
        <f t="shared" si="28"/>
        <v>0</v>
      </c>
      <c r="AB46" s="82"/>
      <c r="AC46" s="82"/>
      <c r="AD46" s="82"/>
      <c r="AE46" s="82"/>
      <c r="AF46" s="82"/>
      <c r="AG46" s="82"/>
      <c r="AH46" s="82">
        <v>1</v>
      </c>
      <c r="AI46" s="82"/>
      <c r="AJ46" s="82">
        <v>1</v>
      </c>
      <c r="AK46" s="82"/>
      <c r="AL46" s="82"/>
      <c r="AM46" s="82"/>
      <c r="AN46" s="82"/>
      <c r="AO46" s="58"/>
      <c r="AP46" s="58"/>
      <c r="AQ46" s="58"/>
      <c r="AR46" s="58"/>
      <c r="AS46" s="58"/>
      <c r="AT46" s="58"/>
      <c r="AU46" s="58"/>
      <c r="AV46" s="58"/>
      <c r="AW46" s="58"/>
      <c r="AX46" s="58"/>
      <c r="AY46" s="58"/>
      <c r="AZ46" s="82">
        <v>1</v>
      </c>
      <c r="BA46" s="82">
        <v>0</v>
      </c>
      <c r="BB46" s="82">
        <v>1</v>
      </c>
      <c r="BC46" s="82">
        <v>0</v>
      </c>
      <c r="BD46" s="82">
        <v>0</v>
      </c>
      <c r="BE46" s="82">
        <v>0</v>
      </c>
      <c r="BF46" s="82">
        <v>3478514.5</v>
      </c>
      <c r="BG46" s="82">
        <v>0.5</v>
      </c>
      <c r="BH46" s="82">
        <v>3478515</v>
      </c>
      <c r="BI46" s="58">
        <v>4</v>
      </c>
      <c r="BJ46" s="58"/>
      <c r="BK46" s="84">
        <f t="shared" si="29"/>
        <v>1</v>
      </c>
      <c r="BL46" s="58" t="s">
        <v>105</v>
      </c>
      <c r="BM46" s="58">
        <v>55</v>
      </c>
    </row>
    <row r="47" spans="1:65" ht="13.8">
      <c r="A47" s="71" t="s">
        <v>49</v>
      </c>
      <c r="B47" s="73" t="s">
        <v>102</v>
      </c>
      <c r="C47" s="74">
        <v>0.9590918725418619</v>
      </c>
      <c r="D47" s="75" t="s">
        <v>103</v>
      </c>
      <c r="E47" s="76">
        <f t="shared" ref="E47:E53" si="30">K47/J47</f>
        <v>0.74687384691074576</v>
      </c>
      <c r="F47" s="76">
        <f t="shared" ref="F47:F53" si="31">O47/W47</f>
        <v>0.62141301026703832</v>
      </c>
      <c r="G47" s="76">
        <v>0.52747285087848372</v>
      </c>
      <c r="H47" s="77">
        <v>5.4826743795644388</v>
      </c>
      <c r="I47" s="78">
        <v>0.52949999999999997</v>
      </c>
      <c r="J47" s="79">
        <v>48782</v>
      </c>
      <c r="K47" s="79">
        <v>36434</v>
      </c>
      <c r="L47" s="80">
        <v>1818515</v>
      </c>
      <c r="M47" s="80">
        <v>24688670</v>
      </c>
      <c r="N47" s="80">
        <v>30945553</v>
      </c>
      <c r="O47" s="80">
        <f t="shared" si="22"/>
        <v>57452738</v>
      </c>
      <c r="P47" s="80">
        <f t="shared" si="23"/>
        <v>853894</v>
      </c>
      <c r="Q47" s="80">
        <f t="shared" si="24"/>
        <v>10708869</v>
      </c>
      <c r="R47" s="80">
        <f t="shared" si="25"/>
        <v>7896895</v>
      </c>
      <c r="S47" s="80">
        <f t="shared" si="26"/>
        <v>19459658</v>
      </c>
      <c r="T47" s="81">
        <v>4773450</v>
      </c>
      <c r="U47" s="81">
        <v>43483627</v>
      </c>
      <c r="V47" s="81">
        <v>44197920</v>
      </c>
      <c r="W47" s="80">
        <f t="shared" si="27"/>
        <v>92454997</v>
      </c>
      <c r="X47" s="80">
        <v>2672409</v>
      </c>
      <c r="Y47" s="80">
        <v>35397539</v>
      </c>
      <c r="Z47" s="80">
        <v>38842448</v>
      </c>
      <c r="AA47" s="80">
        <f t="shared" si="28"/>
        <v>76912396</v>
      </c>
      <c r="AB47" s="82"/>
      <c r="AC47" s="82"/>
      <c r="AD47" s="82"/>
      <c r="AE47" s="82"/>
      <c r="AF47" s="82"/>
      <c r="AG47" s="82"/>
      <c r="AH47" s="82">
        <v>1</v>
      </c>
      <c r="AI47" s="82"/>
      <c r="AJ47" s="82">
        <v>1</v>
      </c>
      <c r="AK47" s="82"/>
      <c r="AL47" s="82"/>
      <c r="AM47" s="82"/>
      <c r="AN47" s="82"/>
      <c r="AO47" s="58"/>
      <c r="AP47" s="58"/>
      <c r="AQ47" s="58"/>
      <c r="AR47" s="58"/>
      <c r="AS47" s="58"/>
      <c r="AT47" s="58"/>
      <c r="AU47" s="58"/>
      <c r="AV47" s="58"/>
      <c r="AW47" s="58"/>
      <c r="AX47" s="58"/>
      <c r="AY47" s="58"/>
      <c r="AZ47" s="82">
        <f t="shared" ref="AZ47:BE53" si="32">SUM(AB47,AH47,AN47,AT47)</f>
        <v>1</v>
      </c>
      <c r="BA47" s="82">
        <f t="shared" si="32"/>
        <v>0</v>
      </c>
      <c r="BB47" s="82">
        <f t="shared" si="32"/>
        <v>1</v>
      </c>
      <c r="BC47" s="82">
        <f t="shared" si="32"/>
        <v>0</v>
      </c>
      <c r="BD47" s="82">
        <f t="shared" si="32"/>
        <v>0</v>
      </c>
      <c r="BE47" s="82">
        <f t="shared" si="32"/>
        <v>0</v>
      </c>
      <c r="BF47" s="82">
        <f t="shared" ref="BF47:BF53" si="33">(1-I47)*X47*(AH47+AI47)/(AZ47+BA47)</f>
        <v>1257368.4345</v>
      </c>
      <c r="BG47" s="82">
        <f t="shared" ref="BG47:BG53" si="34">(1-I47)*M47*AJ47/M47*(AJ47)/BB47</f>
        <v>0.47050000000000003</v>
      </c>
      <c r="BH47" s="82">
        <f t="shared" ref="BH47:BH53" si="35">SUM(BF47:BG47)</f>
        <v>1257368.905</v>
      </c>
      <c r="BI47" s="58">
        <f t="shared" ref="BI47:BI53" si="36">2*(AZ47+BA47+BB47+BC47)+BD47+BE47</f>
        <v>4</v>
      </c>
      <c r="BJ47" s="58"/>
      <c r="BK47" s="84">
        <f t="shared" si="29"/>
        <v>0</v>
      </c>
      <c r="BL47" s="58" t="s">
        <v>49</v>
      </c>
      <c r="BM47" s="58">
        <v>51.02</v>
      </c>
    </row>
    <row r="48" spans="1:65" ht="13.8">
      <c r="A48" s="71" t="s">
        <v>48</v>
      </c>
      <c r="B48" s="73" t="s">
        <v>100</v>
      </c>
      <c r="C48" s="74">
        <v>0.96841905621110691</v>
      </c>
      <c r="D48" s="75">
        <v>0.84459106086816593</v>
      </c>
      <c r="E48" s="76">
        <f t="shared" si="30"/>
        <v>0.83048879153297051</v>
      </c>
      <c r="F48" s="76">
        <f t="shared" si="31"/>
        <v>0.55396031393368583</v>
      </c>
      <c r="G48" s="76">
        <v>0.62670486009037896</v>
      </c>
      <c r="H48" s="77">
        <v>3.446780337648248</v>
      </c>
      <c r="I48" s="78">
        <v>0.70699999999999996</v>
      </c>
      <c r="J48" s="79">
        <v>181693</v>
      </c>
      <c r="K48" s="79">
        <v>150894</v>
      </c>
      <c r="L48" s="80">
        <v>7512345</v>
      </c>
      <c r="M48" s="80">
        <v>90172920</v>
      </c>
      <c r="N48" s="80">
        <v>107547378</v>
      </c>
      <c r="O48" s="80">
        <f t="shared" si="22"/>
        <v>205232643</v>
      </c>
      <c r="P48" s="80">
        <f t="shared" si="23"/>
        <v>3482421</v>
      </c>
      <c r="Q48" s="80">
        <f t="shared" si="24"/>
        <v>53386247</v>
      </c>
      <c r="R48" s="80">
        <f t="shared" si="25"/>
        <v>38580691</v>
      </c>
      <c r="S48" s="80">
        <f t="shared" si="26"/>
        <v>95449359</v>
      </c>
      <c r="T48" s="81">
        <v>22314571</v>
      </c>
      <c r="U48" s="81">
        <v>172213810</v>
      </c>
      <c r="V48" s="81">
        <v>175954193</v>
      </c>
      <c r="W48" s="80">
        <f t="shared" si="27"/>
        <v>370482574</v>
      </c>
      <c r="X48" s="80">
        <v>10994766</v>
      </c>
      <c r="Y48" s="80">
        <v>143559167</v>
      </c>
      <c r="Z48" s="80">
        <v>146128069</v>
      </c>
      <c r="AA48" s="80">
        <f t="shared" si="28"/>
        <v>300682002</v>
      </c>
      <c r="AB48" s="82"/>
      <c r="AC48" s="82"/>
      <c r="AD48" s="82"/>
      <c r="AE48" s="82"/>
      <c r="AF48" s="82"/>
      <c r="AG48" s="82"/>
      <c r="AH48" s="82">
        <v>1</v>
      </c>
      <c r="AI48" s="82"/>
      <c r="AJ48" s="82">
        <v>1</v>
      </c>
      <c r="AK48" s="82"/>
      <c r="AL48" s="82"/>
      <c r="AM48" s="82"/>
      <c r="AN48" s="82"/>
      <c r="AO48" s="58"/>
      <c r="AP48" s="58"/>
      <c r="AQ48" s="58"/>
      <c r="AR48" s="58"/>
      <c r="AS48" s="58"/>
      <c r="AT48" s="58"/>
      <c r="AU48" s="58"/>
      <c r="AV48" s="58"/>
      <c r="AW48" s="58"/>
      <c r="AX48" s="58"/>
      <c r="AY48" s="58"/>
      <c r="AZ48" s="82">
        <f t="shared" si="32"/>
        <v>1</v>
      </c>
      <c r="BA48" s="82">
        <f t="shared" si="32"/>
        <v>0</v>
      </c>
      <c r="BB48" s="82">
        <f t="shared" si="32"/>
        <v>1</v>
      </c>
      <c r="BC48" s="82">
        <f t="shared" si="32"/>
        <v>0</v>
      </c>
      <c r="BD48" s="82">
        <f t="shared" si="32"/>
        <v>0</v>
      </c>
      <c r="BE48" s="82">
        <f t="shared" si="32"/>
        <v>0</v>
      </c>
      <c r="BF48" s="82">
        <f t="shared" si="33"/>
        <v>3221466.4380000005</v>
      </c>
      <c r="BG48" s="82">
        <f t="shared" si="34"/>
        <v>0.29300000000000004</v>
      </c>
      <c r="BH48" s="82">
        <f t="shared" si="35"/>
        <v>3221466.7310000006</v>
      </c>
      <c r="BI48" s="58">
        <f t="shared" si="36"/>
        <v>4</v>
      </c>
      <c r="BJ48" s="58"/>
      <c r="BK48" s="84">
        <f t="shared" si="29"/>
        <v>0</v>
      </c>
      <c r="BL48" s="58" t="s">
        <v>48</v>
      </c>
      <c r="BM48" s="58">
        <v>71.3</v>
      </c>
    </row>
    <row r="49" spans="1:65" ht="13.8">
      <c r="A49" s="71" t="s">
        <v>47</v>
      </c>
      <c r="B49" s="73" t="s">
        <v>102</v>
      </c>
      <c r="C49" s="74">
        <v>1.0725481566742272</v>
      </c>
      <c r="D49" s="75" t="s">
        <v>103</v>
      </c>
      <c r="E49" s="76">
        <f t="shared" si="30"/>
        <v>0.9124540822372319</v>
      </c>
      <c r="F49" s="76">
        <f t="shared" si="31"/>
        <v>0.63676896302408192</v>
      </c>
      <c r="G49" s="76">
        <v>0.60473297089862488</v>
      </c>
      <c r="H49" s="77">
        <v>10.239418415822692</v>
      </c>
      <c r="I49" s="78">
        <v>0.57620000000000005</v>
      </c>
      <c r="J49" s="79">
        <v>42195</v>
      </c>
      <c r="K49" s="79">
        <v>38501</v>
      </c>
      <c r="L49" s="80">
        <v>1578526</v>
      </c>
      <c r="M49" s="80">
        <v>9183605</v>
      </c>
      <c r="N49" s="80">
        <v>65658115</v>
      </c>
      <c r="O49" s="80">
        <f t="shared" si="22"/>
        <v>76420246</v>
      </c>
      <c r="P49" s="80">
        <f t="shared" si="23"/>
        <v>586478</v>
      </c>
      <c r="Q49" s="80">
        <f t="shared" si="24"/>
        <v>5786042</v>
      </c>
      <c r="R49" s="80">
        <f t="shared" si="25"/>
        <v>14918624</v>
      </c>
      <c r="S49" s="80">
        <f t="shared" si="26"/>
        <v>21291144</v>
      </c>
      <c r="T49" s="81">
        <v>7822252</v>
      </c>
      <c r="U49" s="81">
        <v>20460751</v>
      </c>
      <c r="V49" s="81">
        <v>91729514</v>
      </c>
      <c r="W49" s="80">
        <f t="shared" si="27"/>
        <v>120012517</v>
      </c>
      <c r="X49" s="80">
        <v>2165004</v>
      </c>
      <c r="Y49" s="80">
        <v>14969647</v>
      </c>
      <c r="Z49" s="80">
        <v>80576739</v>
      </c>
      <c r="AA49" s="80">
        <f t="shared" si="28"/>
        <v>97711390</v>
      </c>
      <c r="AB49" s="82"/>
      <c r="AC49" s="82"/>
      <c r="AD49" s="82"/>
      <c r="AE49" s="82"/>
      <c r="AF49" s="82"/>
      <c r="AG49" s="82"/>
      <c r="AH49" s="82">
        <v>1</v>
      </c>
      <c r="AI49" s="82"/>
      <c r="AJ49" s="82">
        <v>1</v>
      </c>
      <c r="AK49" s="82"/>
      <c r="AL49" s="82"/>
      <c r="AM49" s="82"/>
      <c r="AN49" s="82"/>
      <c r="AO49" s="58"/>
      <c r="AP49" s="58"/>
      <c r="AQ49" s="58"/>
      <c r="AR49" s="58"/>
      <c r="AS49" s="58"/>
      <c r="AT49" s="58"/>
      <c r="AU49" s="58"/>
      <c r="AV49" s="58"/>
      <c r="AW49" s="58"/>
      <c r="AX49" s="58"/>
      <c r="AY49" s="58"/>
      <c r="AZ49" s="82">
        <f t="shared" si="32"/>
        <v>1</v>
      </c>
      <c r="BA49" s="82">
        <f t="shared" si="32"/>
        <v>0</v>
      </c>
      <c r="BB49" s="82">
        <f t="shared" si="32"/>
        <v>1</v>
      </c>
      <c r="BC49" s="82">
        <f t="shared" si="32"/>
        <v>0</v>
      </c>
      <c r="BD49" s="82">
        <f t="shared" si="32"/>
        <v>0</v>
      </c>
      <c r="BE49" s="82">
        <f t="shared" si="32"/>
        <v>0</v>
      </c>
      <c r="BF49" s="82">
        <f t="shared" si="33"/>
        <v>917528.69519999996</v>
      </c>
      <c r="BG49" s="82">
        <f t="shared" si="34"/>
        <v>0.42379999999999995</v>
      </c>
      <c r="BH49" s="82">
        <f t="shared" si="35"/>
        <v>917529.11899999995</v>
      </c>
      <c r="BI49" s="58">
        <f t="shared" si="36"/>
        <v>4</v>
      </c>
      <c r="BJ49" s="58"/>
      <c r="BK49" s="84">
        <f t="shared" si="29"/>
        <v>0</v>
      </c>
      <c r="BL49" s="58" t="s">
        <v>47</v>
      </c>
      <c r="BM49" s="58">
        <v>54.94</v>
      </c>
    </row>
    <row r="50" spans="1:65" ht="13.8">
      <c r="A50" s="71" t="s">
        <v>46</v>
      </c>
      <c r="B50" s="73" t="s">
        <v>100</v>
      </c>
      <c r="C50" s="74">
        <v>0.955553471460726</v>
      </c>
      <c r="D50" s="75">
        <v>0.93266173208989123</v>
      </c>
      <c r="E50" s="76">
        <f t="shared" si="30"/>
        <v>0.85079359804141497</v>
      </c>
      <c r="F50" s="76">
        <f t="shared" si="31"/>
        <v>0.56255027833581039</v>
      </c>
      <c r="G50" s="76">
        <v>0.62589703366671157</v>
      </c>
      <c r="H50" s="77">
        <v>7.0606782569211592</v>
      </c>
      <c r="I50" s="78">
        <v>0.65210000000000001</v>
      </c>
      <c r="J50" s="79">
        <v>361077</v>
      </c>
      <c r="K50" s="79">
        <v>307202</v>
      </c>
      <c r="L50" s="80">
        <v>14948988</v>
      </c>
      <c r="M50" s="80">
        <v>186821885</v>
      </c>
      <c r="N50" s="80">
        <v>224094930</v>
      </c>
      <c r="O50" s="80">
        <f t="shared" si="22"/>
        <v>425865803</v>
      </c>
      <c r="P50" s="80">
        <f t="shared" si="23"/>
        <v>8733787</v>
      </c>
      <c r="Q50" s="80">
        <f t="shared" si="24"/>
        <v>104795482</v>
      </c>
      <c r="R50" s="80">
        <f t="shared" si="25"/>
        <v>70892278</v>
      </c>
      <c r="S50" s="80">
        <f t="shared" si="26"/>
        <v>184421547</v>
      </c>
      <c r="T50" s="81">
        <v>47024730</v>
      </c>
      <c r="U50" s="81">
        <v>368235025</v>
      </c>
      <c r="V50" s="81">
        <v>341767340</v>
      </c>
      <c r="W50" s="80">
        <f t="shared" si="27"/>
        <v>757027095</v>
      </c>
      <c r="X50" s="80">
        <v>23682775</v>
      </c>
      <c r="Y50" s="80">
        <v>291617367</v>
      </c>
      <c r="Z50" s="80">
        <v>294987208</v>
      </c>
      <c r="AA50" s="80">
        <f t="shared" si="28"/>
        <v>610287350</v>
      </c>
      <c r="AB50" s="82"/>
      <c r="AC50" s="82"/>
      <c r="AD50" s="82"/>
      <c r="AE50" s="82"/>
      <c r="AF50" s="82"/>
      <c r="AG50" s="82"/>
      <c r="AH50" s="82">
        <v>1</v>
      </c>
      <c r="AI50" s="82"/>
      <c r="AJ50" s="82">
        <v>1</v>
      </c>
      <c r="AK50" s="82"/>
      <c r="AL50" s="82"/>
      <c r="AM50" s="82"/>
      <c r="AN50" s="82"/>
      <c r="AO50" s="58"/>
      <c r="AP50" s="58"/>
      <c r="AQ50" s="58"/>
      <c r="AR50" s="58"/>
      <c r="AS50" s="58"/>
      <c r="AT50" s="58"/>
      <c r="AU50" s="58"/>
      <c r="AV50" s="58"/>
      <c r="AW50" s="58"/>
      <c r="AX50" s="58"/>
      <c r="AY50" s="58"/>
      <c r="AZ50" s="82">
        <f t="shared" si="32"/>
        <v>1</v>
      </c>
      <c r="BA50" s="82">
        <f t="shared" si="32"/>
        <v>0</v>
      </c>
      <c r="BB50" s="82">
        <f t="shared" si="32"/>
        <v>1</v>
      </c>
      <c r="BC50" s="82">
        <f t="shared" si="32"/>
        <v>0</v>
      </c>
      <c r="BD50" s="82">
        <f t="shared" si="32"/>
        <v>0</v>
      </c>
      <c r="BE50" s="82">
        <f t="shared" si="32"/>
        <v>0</v>
      </c>
      <c r="BF50" s="82">
        <f t="shared" si="33"/>
        <v>8239237.4224999994</v>
      </c>
      <c r="BG50" s="82">
        <f t="shared" si="34"/>
        <v>0.34789999999999999</v>
      </c>
      <c r="BH50" s="82">
        <f t="shared" si="35"/>
        <v>8239237.7703999998</v>
      </c>
      <c r="BI50" s="58">
        <f t="shared" si="36"/>
        <v>4</v>
      </c>
      <c r="BJ50" s="58"/>
      <c r="BK50" s="84">
        <f t="shared" si="29"/>
        <v>0</v>
      </c>
      <c r="BL50" s="58" t="s">
        <v>46</v>
      </c>
      <c r="BM50" s="58">
        <v>64.959999999999994</v>
      </c>
    </row>
    <row r="51" spans="1:65" ht="13.8">
      <c r="A51" s="71" t="s">
        <v>45</v>
      </c>
      <c r="B51" s="73" t="s">
        <v>100</v>
      </c>
      <c r="C51" s="74">
        <v>0.87569220330357711</v>
      </c>
      <c r="D51" s="75">
        <v>0.93151124212188108</v>
      </c>
      <c r="E51" s="76">
        <f t="shared" si="30"/>
        <v>0.87334631554954167</v>
      </c>
      <c r="F51" s="76">
        <f t="shared" si="31"/>
        <v>0.65207202205475434</v>
      </c>
      <c r="G51" s="76">
        <v>0.63313011451701418</v>
      </c>
      <c r="H51" s="77">
        <v>10.042136766264424</v>
      </c>
      <c r="I51" s="78">
        <v>0.6089</v>
      </c>
      <c r="J51" s="79">
        <v>1517974</v>
      </c>
      <c r="K51" s="79">
        <v>1325717</v>
      </c>
      <c r="L51" s="80">
        <v>5264814</v>
      </c>
      <c r="M51" s="80">
        <v>358744438</v>
      </c>
      <c r="N51" s="80">
        <v>2852716934</v>
      </c>
      <c r="O51" s="80">
        <f t="shared" si="22"/>
        <v>3216726186</v>
      </c>
      <c r="P51" s="80">
        <f t="shared" si="23"/>
        <v>2879788</v>
      </c>
      <c r="Q51" s="80">
        <f t="shared" si="24"/>
        <v>319951634</v>
      </c>
      <c r="R51" s="80">
        <f t="shared" si="25"/>
        <v>759176918</v>
      </c>
      <c r="S51" s="80">
        <f t="shared" si="26"/>
        <v>1082008340</v>
      </c>
      <c r="T51" s="81">
        <v>31860880</v>
      </c>
      <c r="U51" s="81">
        <v>705218708</v>
      </c>
      <c r="V51" s="81">
        <v>4196004607</v>
      </c>
      <c r="W51" s="80">
        <f t="shared" si="27"/>
        <v>4933084195</v>
      </c>
      <c r="X51" s="80">
        <v>8144602</v>
      </c>
      <c r="Y51" s="80">
        <v>678696072</v>
      </c>
      <c r="Z51" s="80">
        <v>3611893852</v>
      </c>
      <c r="AA51" s="80">
        <f t="shared" si="28"/>
        <v>4298734526</v>
      </c>
      <c r="AB51" s="82"/>
      <c r="AC51" s="82"/>
      <c r="AD51" s="82"/>
      <c r="AE51" s="82"/>
      <c r="AF51" s="82"/>
      <c r="AG51" s="82"/>
      <c r="AH51" s="82">
        <v>1</v>
      </c>
      <c r="AI51" s="82"/>
      <c r="AJ51" s="82">
        <v>1</v>
      </c>
      <c r="AK51" s="82"/>
      <c r="AL51" s="82"/>
      <c r="AM51" s="82"/>
      <c r="AN51" s="82"/>
      <c r="AO51" s="58"/>
      <c r="AP51" s="58"/>
      <c r="AQ51" s="58"/>
      <c r="AR51" s="58"/>
      <c r="AS51" s="58"/>
      <c r="AT51" s="58"/>
      <c r="AU51" s="58"/>
      <c r="AV51" s="58"/>
      <c r="AW51" s="58"/>
      <c r="AX51" s="58"/>
      <c r="AY51" s="58"/>
      <c r="AZ51" s="82">
        <f t="shared" si="32"/>
        <v>1</v>
      </c>
      <c r="BA51" s="82">
        <f t="shared" si="32"/>
        <v>0</v>
      </c>
      <c r="BB51" s="82">
        <f t="shared" si="32"/>
        <v>1</v>
      </c>
      <c r="BC51" s="82">
        <f t="shared" si="32"/>
        <v>0</v>
      </c>
      <c r="BD51" s="82">
        <f t="shared" si="32"/>
        <v>0</v>
      </c>
      <c r="BE51" s="82">
        <f t="shared" si="32"/>
        <v>0</v>
      </c>
      <c r="BF51" s="82">
        <f t="shared" si="33"/>
        <v>3185353.8421999998</v>
      </c>
      <c r="BG51" s="82">
        <f t="shared" si="34"/>
        <v>0.39109999999999995</v>
      </c>
      <c r="BH51" s="82">
        <f t="shared" si="35"/>
        <v>3185354.2333</v>
      </c>
      <c r="BI51" s="58">
        <f t="shared" si="36"/>
        <v>4</v>
      </c>
      <c r="BJ51" s="58"/>
      <c r="BK51" s="84">
        <f t="shared" si="29"/>
        <v>0</v>
      </c>
      <c r="BL51" s="58" t="s">
        <v>45</v>
      </c>
      <c r="BM51" s="58">
        <v>56.18</v>
      </c>
    </row>
    <row r="52" spans="1:65" ht="13.8">
      <c r="A52" s="71" t="s">
        <v>44</v>
      </c>
      <c r="B52" s="73" t="s">
        <v>100</v>
      </c>
      <c r="C52" s="74">
        <v>1.0486027145314283</v>
      </c>
      <c r="D52" s="75">
        <v>1.0367911178839664</v>
      </c>
      <c r="E52" s="76">
        <f t="shared" si="30"/>
        <v>0.87629576875685333</v>
      </c>
      <c r="F52" s="76">
        <f t="shared" si="31"/>
        <v>0.65917088527934997</v>
      </c>
      <c r="G52" s="76">
        <v>0.64750391125017781</v>
      </c>
      <c r="H52" s="77">
        <v>6.42868599147985</v>
      </c>
      <c r="I52" s="78">
        <v>0.68189999999999995</v>
      </c>
      <c r="J52" s="79">
        <v>88461</v>
      </c>
      <c r="K52" s="79">
        <v>77518</v>
      </c>
      <c r="L52" s="80">
        <v>2304908</v>
      </c>
      <c r="M52" s="80">
        <v>42016339</v>
      </c>
      <c r="N52" s="80">
        <v>130497213</v>
      </c>
      <c r="O52" s="80">
        <f t="shared" si="22"/>
        <v>174818460</v>
      </c>
      <c r="P52" s="80">
        <f t="shared" si="23"/>
        <v>1150711</v>
      </c>
      <c r="Q52" s="80">
        <f t="shared" si="24"/>
        <v>18004506</v>
      </c>
      <c r="R52" s="80">
        <f t="shared" si="25"/>
        <v>27083150</v>
      </c>
      <c r="S52" s="80">
        <f t="shared" si="26"/>
        <v>46238367</v>
      </c>
      <c r="T52" s="81">
        <v>8683836</v>
      </c>
      <c r="U52" s="81">
        <v>73431766</v>
      </c>
      <c r="V52" s="81">
        <v>183094018</v>
      </c>
      <c r="W52" s="80">
        <f t="shared" si="27"/>
        <v>265209620</v>
      </c>
      <c r="X52" s="80">
        <v>3455619</v>
      </c>
      <c r="Y52" s="80">
        <v>60020845</v>
      </c>
      <c r="Z52" s="80">
        <v>157580363</v>
      </c>
      <c r="AA52" s="80">
        <f t="shared" si="28"/>
        <v>221056827</v>
      </c>
      <c r="AB52" s="82"/>
      <c r="AC52" s="82"/>
      <c r="AD52" s="82"/>
      <c r="AE52" s="82"/>
      <c r="AF52" s="82"/>
      <c r="AG52" s="82"/>
      <c r="AH52" s="82">
        <v>1</v>
      </c>
      <c r="AI52" s="82"/>
      <c r="AJ52" s="82">
        <v>1</v>
      </c>
      <c r="AK52" s="82"/>
      <c r="AL52" s="82"/>
      <c r="AM52" s="82"/>
      <c r="AN52" s="82"/>
      <c r="AO52" s="58"/>
      <c r="AP52" s="58"/>
      <c r="AQ52" s="58"/>
      <c r="AR52" s="58"/>
      <c r="AS52" s="58"/>
      <c r="AT52" s="58"/>
      <c r="AU52" s="58"/>
      <c r="AV52" s="58"/>
      <c r="AW52" s="58"/>
      <c r="AX52" s="58"/>
      <c r="AY52" s="58"/>
      <c r="AZ52" s="82">
        <f t="shared" si="32"/>
        <v>1</v>
      </c>
      <c r="BA52" s="82">
        <f t="shared" si="32"/>
        <v>0</v>
      </c>
      <c r="BB52" s="82">
        <f t="shared" si="32"/>
        <v>1</v>
      </c>
      <c r="BC52" s="82">
        <f t="shared" si="32"/>
        <v>0</v>
      </c>
      <c r="BD52" s="82">
        <f t="shared" si="32"/>
        <v>0</v>
      </c>
      <c r="BE52" s="82">
        <f t="shared" si="32"/>
        <v>0</v>
      </c>
      <c r="BF52" s="82">
        <f t="shared" si="33"/>
        <v>1099232.4039000003</v>
      </c>
      <c r="BG52" s="82">
        <f t="shared" si="34"/>
        <v>0.31810000000000005</v>
      </c>
      <c r="BH52" s="82">
        <f t="shared" si="35"/>
        <v>1099232.7220000003</v>
      </c>
      <c r="BI52" s="58">
        <f t="shared" si="36"/>
        <v>4</v>
      </c>
      <c r="BJ52" s="58"/>
      <c r="BK52" s="84">
        <f t="shared" si="29"/>
        <v>0</v>
      </c>
      <c r="BL52" s="58" t="s">
        <v>44</v>
      </c>
      <c r="BM52" s="58">
        <v>69.900000000000006</v>
      </c>
    </row>
    <row r="53" spans="1:65" ht="13.8">
      <c r="A53" s="71" t="s">
        <v>43</v>
      </c>
      <c r="B53" s="73" t="s">
        <v>102</v>
      </c>
      <c r="C53" s="74">
        <v>1.0765027322404372</v>
      </c>
      <c r="D53" s="75" t="s">
        <v>103</v>
      </c>
      <c r="E53" s="76">
        <f t="shared" si="30"/>
        <v>0.90455456493192343</v>
      </c>
      <c r="F53" s="76">
        <f t="shared" si="31"/>
        <v>0.74680045874330192</v>
      </c>
      <c r="G53" s="76">
        <v>0.76209140079956106</v>
      </c>
      <c r="H53" s="77">
        <v>2.7171230141009994</v>
      </c>
      <c r="I53" s="78">
        <v>0.53859999999999997</v>
      </c>
      <c r="J53" s="79">
        <v>14469</v>
      </c>
      <c r="K53" s="79">
        <v>13088</v>
      </c>
      <c r="L53" s="80">
        <v>1127941</v>
      </c>
      <c r="M53" s="80">
        <v>14754618</v>
      </c>
      <c r="N53" s="80">
        <v>17810965</v>
      </c>
      <c r="O53" s="80">
        <f t="shared" si="22"/>
        <v>33693524</v>
      </c>
      <c r="P53" s="80">
        <f t="shared" si="23"/>
        <v>722602</v>
      </c>
      <c r="Q53" s="80">
        <f t="shared" si="24"/>
        <v>5425688</v>
      </c>
      <c r="R53" s="80">
        <f t="shared" si="25"/>
        <v>4104330</v>
      </c>
      <c r="S53" s="80">
        <f t="shared" si="26"/>
        <v>10252620</v>
      </c>
      <c r="T53" s="81">
        <v>2113648</v>
      </c>
      <c r="U53" s="81">
        <v>20514259</v>
      </c>
      <c r="V53" s="81">
        <v>22489264</v>
      </c>
      <c r="W53" s="80">
        <f t="shared" si="27"/>
        <v>45117171</v>
      </c>
      <c r="X53" s="80">
        <v>1850543</v>
      </c>
      <c r="Y53" s="80">
        <v>20180306</v>
      </c>
      <c r="Z53" s="80">
        <v>21915295</v>
      </c>
      <c r="AA53" s="80">
        <f t="shared" si="28"/>
        <v>43946144</v>
      </c>
      <c r="AB53" s="82"/>
      <c r="AC53" s="82"/>
      <c r="AD53" s="82"/>
      <c r="AE53" s="82"/>
      <c r="AF53" s="82"/>
      <c r="AG53" s="82"/>
      <c r="AH53" s="82">
        <v>1</v>
      </c>
      <c r="AI53" s="82"/>
      <c r="AJ53" s="82">
        <v>1</v>
      </c>
      <c r="AK53" s="82"/>
      <c r="AL53" s="82"/>
      <c r="AM53" s="82"/>
      <c r="AN53" s="82"/>
      <c r="AO53" s="58"/>
      <c r="AP53" s="58"/>
      <c r="AQ53" s="58"/>
      <c r="AR53" s="58"/>
      <c r="AS53" s="58"/>
      <c r="AT53" s="58"/>
      <c r="AU53" s="58"/>
      <c r="AV53" s="58"/>
      <c r="AW53" s="58"/>
      <c r="AX53" s="58"/>
      <c r="AY53" s="58"/>
      <c r="AZ53" s="82">
        <f t="shared" si="32"/>
        <v>1</v>
      </c>
      <c r="BA53" s="82">
        <f t="shared" si="32"/>
        <v>0</v>
      </c>
      <c r="BB53" s="82">
        <f t="shared" si="32"/>
        <v>1</v>
      </c>
      <c r="BC53" s="82">
        <f t="shared" si="32"/>
        <v>0</v>
      </c>
      <c r="BD53" s="82">
        <f t="shared" si="32"/>
        <v>0</v>
      </c>
      <c r="BE53" s="82">
        <f t="shared" si="32"/>
        <v>0</v>
      </c>
      <c r="BF53" s="82">
        <f t="shared" si="33"/>
        <v>853840.54020000005</v>
      </c>
      <c r="BG53" s="82">
        <f t="shared" si="34"/>
        <v>0.46140000000000003</v>
      </c>
      <c r="BH53" s="82">
        <f t="shared" si="35"/>
        <v>853841.00160000008</v>
      </c>
      <c r="BI53" s="58">
        <f t="shared" si="36"/>
        <v>4</v>
      </c>
      <c r="BJ53" s="58"/>
      <c r="BK53" s="84">
        <f t="shared" si="29"/>
        <v>0</v>
      </c>
      <c r="BL53" s="58" t="s">
        <v>43</v>
      </c>
      <c r="BM53" s="58">
        <v>54.46</v>
      </c>
    </row>
    <row r="54" spans="1:65" ht="13.8">
      <c r="A54" s="71" t="s">
        <v>42</v>
      </c>
      <c r="B54" s="73" t="s">
        <v>100</v>
      </c>
      <c r="C54" s="74" t="s">
        <v>103</v>
      </c>
      <c r="D54" s="75">
        <v>0.95050000000000001</v>
      </c>
      <c r="E54" s="76">
        <v>0.70950000000000002</v>
      </c>
      <c r="F54" s="76">
        <v>0.48749999999999999</v>
      </c>
      <c r="G54" s="76">
        <v>0.37090000000000001</v>
      </c>
      <c r="H54" s="77">
        <v>0.7</v>
      </c>
      <c r="I54" s="78">
        <v>0.55000000000000004</v>
      </c>
      <c r="J54" s="79" t="s">
        <v>103</v>
      </c>
      <c r="K54" s="79" t="s">
        <v>103</v>
      </c>
      <c r="L54" s="80">
        <v>0</v>
      </c>
      <c r="M54" s="80">
        <v>0</v>
      </c>
      <c r="N54" s="80">
        <v>0</v>
      </c>
      <c r="O54" s="80">
        <f t="shared" si="22"/>
        <v>0</v>
      </c>
      <c r="P54" s="80">
        <f t="shared" si="23"/>
        <v>0</v>
      </c>
      <c r="Q54" s="80">
        <f t="shared" si="24"/>
        <v>0</v>
      </c>
      <c r="R54" s="80">
        <f t="shared" si="25"/>
        <v>0</v>
      </c>
      <c r="S54" s="80">
        <f t="shared" si="26"/>
        <v>0</v>
      </c>
      <c r="T54" s="81">
        <v>0</v>
      </c>
      <c r="U54" s="81">
        <v>0</v>
      </c>
      <c r="V54" s="81">
        <v>0</v>
      </c>
      <c r="W54" s="80">
        <f t="shared" si="27"/>
        <v>0</v>
      </c>
      <c r="X54" s="80">
        <v>0</v>
      </c>
      <c r="Y54" s="80">
        <v>0</v>
      </c>
      <c r="Z54" s="80">
        <v>0</v>
      </c>
      <c r="AA54" s="80">
        <f t="shared" si="28"/>
        <v>0</v>
      </c>
      <c r="AB54" s="82"/>
      <c r="AC54" s="82"/>
      <c r="AD54" s="82"/>
      <c r="AE54" s="82"/>
      <c r="AF54" s="82"/>
      <c r="AG54" s="82"/>
      <c r="AH54" s="82">
        <v>1</v>
      </c>
      <c r="AI54" s="82"/>
      <c r="AJ54" s="82">
        <v>1</v>
      </c>
      <c r="AK54" s="82"/>
      <c r="AL54" s="82"/>
      <c r="AM54" s="82"/>
      <c r="AN54" s="82"/>
      <c r="AO54" s="58"/>
      <c r="AP54" s="58"/>
      <c r="AQ54" s="58"/>
      <c r="AR54" s="58"/>
      <c r="AS54" s="58"/>
      <c r="AT54" s="58"/>
      <c r="AU54" s="58"/>
      <c r="AV54" s="58"/>
      <c r="AW54" s="58"/>
      <c r="AX54" s="58"/>
      <c r="AY54" s="58"/>
      <c r="AZ54" s="82">
        <v>1</v>
      </c>
      <c r="BA54" s="82">
        <v>0</v>
      </c>
      <c r="BB54" s="82">
        <v>1</v>
      </c>
      <c r="BC54" s="82">
        <v>0</v>
      </c>
      <c r="BD54" s="82">
        <v>0</v>
      </c>
      <c r="BE54" s="82">
        <v>0</v>
      </c>
      <c r="BF54" s="82">
        <v>154366.5</v>
      </c>
      <c r="BG54" s="82">
        <v>0.5</v>
      </c>
      <c r="BH54" s="82">
        <v>154367</v>
      </c>
      <c r="BI54" s="58">
        <v>4</v>
      </c>
      <c r="BJ54" s="58"/>
      <c r="BK54" s="84">
        <f t="shared" si="29"/>
        <v>1</v>
      </c>
      <c r="BL54" s="58" t="s">
        <v>104</v>
      </c>
      <c r="BM54" s="58">
        <v>55</v>
      </c>
    </row>
    <row r="55" spans="1:65" ht="13.8">
      <c r="A55" s="71" t="s">
        <v>41</v>
      </c>
      <c r="B55" s="73" t="s">
        <v>100</v>
      </c>
      <c r="C55" s="74">
        <v>0.9741577719767065</v>
      </c>
      <c r="D55" s="75">
        <v>0.94368028665549331</v>
      </c>
      <c r="E55" s="76">
        <f>K55/J55</f>
        <v>0.8961772962391501</v>
      </c>
      <c r="F55" s="76">
        <f>O55/W55</f>
        <v>0.65012597781499604</v>
      </c>
      <c r="G55" s="76">
        <v>0.65919124072061941</v>
      </c>
      <c r="H55" s="77">
        <v>6.1898602652694095</v>
      </c>
      <c r="I55" s="78">
        <v>0.5</v>
      </c>
      <c r="J55" s="79">
        <v>294242</v>
      </c>
      <c r="K55" s="79">
        <v>263693</v>
      </c>
      <c r="L55" s="80">
        <v>8253112</v>
      </c>
      <c r="M55" s="80">
        <v>104792837</v>
      </c>
      <c r="N55" s="80">
        <v>343555745</v>
      </c>
      <c r="O55" s="80">
        <f t="shared" si="22"/>
        <v>456601694</v>
      </c>
      <c r="P55" s="80">
        <f t="shared" si="23"/>
        <v>6489308</v>
      </c>
      <c r="Q55" s="80">
        <f t="shared" si="24"/>
        <v>74043204</v>
      </c>
      <c r="R55" s="80">
        <f t="shared" si="25"/>
        <v>95161997</v>
      </c>
      <c r="S55" s="80">
        <f t="shared" si="26"/>
        <v>175694509</v>
      </c>
      <c r="T55" s="81">
        <v>28038471</v>
      </c>
      <c r="U55" s="81">
        <v>187731385</v>
      </c>
      <c r="V55" s="81">
        <v>486558169</v>
      </c>
      <c r="W55" s="80">
        <f t="shared" si="27"/>
        <v>702328025</v>
      </c>
      <c r="X55" s="80">
        <v>14742420</v>
      </c>
      <c r="Y55" s="80">
        <v>178836041</v>
      </c>
      <c r="Z55" s="80">
        <v>438717742</v>
      </c>
      <c r="AA55" s="80">
        <f t="shared" si="28"/>
        <v>632296203</v>
      </c>
      <c r="AB55" s="82"/>
      <c r="AC55" s="82"/>
      <c r="AD55" s="82"/>
      <c r="AE55" s="82"/>
      <c r="AF55" s="82"/>
      <c r="AG55" s="82"/>
      <c r="AH55" s="82">
        <v>1</v>
      </c>
      <c r="AI55" s="82"/>
      <c r="AJ55" s="82">
        <v>1</v>
      </c>
      <c r="AK55" s="82"/>
      <c r="AL55" s="82"/>
      <c r="AM55" s="82"/>
      <c r="AN55" s="82"/>
      <c r="AO55" s="58"/>
      <c r="AP55" s="58"/>
      <c r="AQ55" s="58"/>
      <c r="AR55" s="58"/>
      <c r="AS55" s="58"/>
      <c r="AT55" s="58"/>
      <c r="AU55" s="58"/>
      <c r="AV55" s="58"/>
      <c r="AW55" s="58"/>
      <c r="AX55" s="58"/>
      <c r="AY55" s="58"/>
      <c r="AZ55" s="82">
        <f t="shared" ref="AZ55:BE59" si="37">SUM(AB55,AH55,AN55,AT55)</f>
        <v>1</v>
      </c>
      <c r="BA55" s="82">
        <f t="shared" si="37"/>
        <v>0</v>
      </c>
      <c r="BB55" s="82">
        <f t="shared" si="37"/>
        <v>1</v>
      </c>
      <c r="BC55" s="82">
        <f t="shared" si="37"/>
        <v>0</v>
      </c>
      <c r="BD55" s="82">
        <f t="shared" si="37"/>
        <v>0</v>
      </c>
      <c r="BE55" s="82">
        <f t="shared" si="37"/>
        <v>0</v>
      </c>
      <c r="BF55" s="82">
        <f>(1-I55)*X55*(AH55+AI55)/(AZ55+BA55)</f>
        <v>7371210</v>
      </c>
      <c r="BG55" s="82">
        <f>(1-I55)*M55*AJ55/M55*(AJ55)/BB55</f>
        <v>0.5</v>
      </c>
      <c r="BH55" s="82">
        <f>SUM(BF55:BG55)</f>
        <v>7371210.5</v>
      </c>
      <c r="BI55" s="58">
        <f>2*(AZ55+BA55+BB55+BC55)+BD55+BE55</f>
        <v>4</v>
      </c>
      <c r="BJ55" s="58"/>
      <c r="BK55" s="84">
        <f t="shared" si="29"/>
        <v>0</v>
      </c>
      <c r="BL55" s="58" t="s">
        <v>41</v>
      </c>
      <c r="BM55" s="58">
        <v>50</v>
      </c>
    </row>
    <row r="56" spans="1:65" ht="13.8">
      <c r="A56" s="71" t="s">
        <v>40</v>
      </c>
      <c r="B56" s="73" t="s">
        <v>102</v>
      </c>
      <c r="C56" s="74">
        <v>0.97979365062772439</v>
      </c>
      <c r="D56" s="75" t="s">
        <v>103</v>
      </c>
      <c r="E56" s="76">
        <f>K56/J56</f>
        <v>0.93265687329829672</v>
      </c>
      <c r="F56" s="76">
        <f>O56/W56</f>
        <v>0.67366628917913429</v>
      </c>
      <c r="G56" s="76">
        <v>0.62075568121482427</v>
      </c>
      <c r="H56" s="77">
        <v>4.208568687130148</v>
      </c>
      <c r="I56" s="78">
        <v>0.5</v>
      </c>
      <c r="J56" s="79">
        <v>315860</v>
      </c>
      <c r="K56" s="79">
        <v>294589</v>
      </c>
      <c r="L56" s="80">
        <v>13836146</v>
      </c>
      <c r="M56" s="80">
        <v>149021570</v>
      </c>
      <c r="N56" s="80">
        <v>321208171</v>
      </c>
      <c r="O56" s="80">
        <f t="shared" si="22"/>
        <v>484065887</v>
      </c>
      <c r="P56" s="80">
        <f t="shared" si="23"/>
        <v>5426559</v>
      </c>
      <c r="Q56" s="80">
        <f t="shared" si="24"/>
        <v>92483291</v>
      </c>
      <c r="R56" s="80">
        <f t="shared" si="25"/>
        <v>73546719</v>
      </c>
      <c r="S56" s="80">
        <f t="shared" si="26"/>
        <v>171456569</v>
      </c>
      <c r="T56" s="81">
        <v>45989373</v>
      </c>
      <c r="U56" s="81">
        <v>246652748</v>
      </c>
      <c r="V56" s="81">
        <v>425912295</v>
      </c>
      <c r="W56" s="80">
        <f t="shared" si="27"/>
        <v>718554416</v>
      </c>
      <c r="X56" s="80">
        <v>19262705</v>
      </c>
      <c r="Y56" s="80">
        <v>241504861</v>
      </c>
      <c r="Z56" s="80">
        <v>394754890</v>
      </c>
      <c r="AA56" s="80">
        <f t="shared" si="28"/>
        <v>655522456</v>
      </c>
      <c r="AB56" s="82"/>
      <c r="AC56" s="82"/>
      <c r="AD56" s="82"/>
      <c r="AE56" s="82"/>
      <c r="AF56" s="82"/>
      <c r="AG56" s="82"/>
      <c r="AH56" s="82">
        <v>1</v>
      </c>
      <c r="AI56" s="82"/>
      <c r="AJ56" s="82">
        <v>1</v>
      </c>
      <c r="AK56" s="82"/>
      <c r="AL56" s="82"/>
      <c r="AM56" s="82"/>
      <c r="AN56" s="82"/>
      <c r="AO56" s="58"/>
      <c r="AP56" s="58"/>
      <c r="AQ56" s="58"/>
      <c r="AR56" s="58"/>
      <c r="AS56" s="58"/>
      <c r="AT56" s="58"/>
      <c r="AU56" s="58"/>
      <c r="AV56" s="58"/>
      <c r="AW56" s="58"/>
      <c r="AX56" s="58"/>
      <c r="AY56" s="58"/>
      <c r="AZ56" s="82">
        <f t="shared" si="37"/>
        <v>1</v>
      </c>
      <c r="BA56" s="82">
        <f t="shared" si="37"/>
        <v>0</v>
      </c>
      <c r="BB56" s="82">
        <f t="shared" si="37"/>
        <v>1</v>
      </c>
      <c r="BC56" s="82">
        <f t="shared" si="37"/>
        <v>0</v>
      </c>
      <c r="BD56" s="82">
        <f t="shared" si="37"/>
        <v>0</v>
      </c>
      <c r="BE56" s="82">
        <f t="shared" si="37"/>
        <v>0</v>
      </c>
      <c r="BF56" s="82">
        <f>(1-I56)*X56*(AH56+AI56)/(AZ56+BA56)</f>
        <v>9631352.5</v>
      </c>
      <c r="BG56" s="82">
        <f>(1-I56)*M56*AJ56/M56*(AJ56)/BB56</f>
        <v>0.5</v>
      </c>
      <c r="BH56" s="82">
        <f>SUM(BF56:BG56)</f>
        <v>9631353</v>
      </c>
      <c r="BI56" s="58">
        <f>2*(AZ56+BA56+BB56+BC56)+BD56+BE56</f>
        <v>4</v>
      </c>
      <c r="BJ56" s="58"/>
      <c r="BK56" s="84">
        <f t="shared" si="29"/>
        <v>0</v>
      </c>
      <c r="BL56" s="58" t="s">
        <v>40</v>
      </c>
      <c r="BM56" s="58">
        <v>50</v>
      </c>
    </row>
    <row r="57" spans="1:65" ht="13.8">
      <c r="A57" s="71" t="s">
        <v>39</v>
      </c>
      <c r="B57" s="73" t="s">
        <v>102</v>
      </c>
      <c r="C57" s="74">
        <v>1.0192372704003605</v>
      </c>
      <c r="D57" s="75">
        <v>0.84371842371168748</v>
      </c>
      <c r="E57" s="76">
        <f>K57/J57</f>
        <v>0.89413543783375071</v>
      </c>
      <c r="F57" s="76">
        <f>O57/W57</f>
        <v>0.68215969721321279</v>
      </c>
      <c r="G57" s="76">
        <v>0.60967051775780912</v>
      </c>
      <c r="H57" s="77">
        <v>5.3334999962974585</v>
      </c>
      <c r="I57" s="78">
        <v>0.74939999999999996</v>
      </c>
      <c r="J57" s="79">
        <v>105805</v>
      </c>
      <c r="K57" s="79">
        <v>94604</v>
      </c>
      <c r="L57" s="80">
        <v>2396716</v>
      </c>
      <c r="M57" s="80">
        <v>32225717</v>
      </c>
      <c r="N57" s="80">
        <v>100547687</v>
      </c>
      <c r="O57" s="80">
        <f t="shared" si="22"/>
        <v>135170120</v>
      </c>
      <c r="P57" s="80">
        <f t="shared" si="23"/>
        <v>1263315</v>
      </c>
      <c r="Q57" s="80">
        <f t="shared" si="24"/>
        <v>21224259</v>
      </c>
      <c r="R57" s="80">
        <f t="shared" si="25"/>
        <v>24704707</v>
      </c>
      <c r="S57" s="80">
        <f t="shared" si="26"/>
        <v>47192281</v>
      </c>
      <c r="T57" s="81">
        <v>7788430</v>
      </c>
      <c r="U57" s="81">
        <v>56568885</v>
      </c>
      <c r="V57" s="81">
        <v>133792943</v>
      </c>
      <c r="W57" s="80">
        <f t="shared" si="27"/>
        <v>198150258</v>
      </c>
      <c r="X57" s="80">
        <v>3660031</v>
      </c>
      <c r="Y57" s="80">
        <v>53449976</v>
      </c>
      <c r="Z57" s="80">
        <v>125252394</v>
      </c>
      <c r="AA57" s="80">
        <f t="shared" si="28"/>
        <v>182362401</v>
      </c>
      <c r="AB57" s="82"/>
      <c r="AC57" s="82"/>
      <c r="AD57" s="82"/>
      <c r="AE57" s="82"/>
      <c r="AF57" s="82"/>
      <c r="AG57" s="82"/>
      <c r="AH57" s="82">
        <v>1</v>
      </c>
      <c r="AI57" s="82"/>
      <c r="AJ57" s="82">
        <v>1</v>
      </c>
      <c r="AK57" s="82"/>
      <c r="AL57" s="82"/>
      <c r="AM57" s="82"/>
      <c r="AN57" s="82"/>
      <c r="AO57" s="58"/>
      <c r="AP57" s="58"/>
      <c r="AQ57" s="58"/>
      <c r="AR57" s="58"/>
      <c r="AS57" s="58"/>
      <c r="AT57" s="58"/>
      <c r="AU57" s="58"/>
      <c r="AV57" s="58"/>
      <c r="AW57" s="58"/>
      <c r="AX57" s="58"/>
      <c r="AY57" s="58"/>
      <c r="AZ57" s="82">
        <f t="shared" si="37"/>
        <v>1</v>
      </c>
      <c r="BA57" s="82">
        <f t="shared" si="37"/>
        <v>0</v>
      </c>
      <c r="BB57" s="82">
        <f t="shared" si="37"/>
        <v>1</v>
      </c>
      <c r="BC57" s="82">
        <f t="shared" si="37"/>
        <v>0</v>
      </c>
      <c r="BD57" s="82">
        <f t="shared" si="37"/>
        <v>0</v>
      </c>
      <c r="BE57" s="82">
        <f t="shared" si="37"/>
        <v>0</v>
      </c>
      <c r="BF57" s="82">
        <f>(1-I57)*X57*(AH57+AI57)/(AZ57+BA57)</f>
        <v>917203.76860000018</v>
      </c>
      <c r="BG57" s="82">
        <f>(1-I57)*M57*AJ57/M57*(AJ57)/BB57</f>
        <v>0.25060000000000004</v>
      </c>
      <c r="BH57" s="82">
        <f>SUM(BF57:BG57)</f>
        <v>917204.01920000021</v>
      </c>
      <c r="BI57" s="58">
        <f>2*(AZ57+BA57+BB57+BC57)+BD57+BE57</f>
        <v>4</v>
      </c>
      <c r="BJ57" s="58"/>
      <c r="BK57" s="84">
        <f t="shared" si="29"/>
        <v>0</v>
      </c>
      <c r="BL57" s="58" t="s">
        <v>39</v>
      </c>
      <c r="BM57" s="58">
        <v>71.8</v>
      </c>
    </row>
    <row r="58" spans="1:65" ht="13.8">
      <c r="A58" s="71" t="s">
        <v>38</v>
      </c>
      <c r="B58" s="73" t="s">
        <v>102</v>
      </c>
      <c r="C58" s="74">
        <v>1.026131016746062</v>
      </c>
      <c r="D58" s="75" t="s">
        <v>103</v>
      </c>
      <c r="E58" s="76">
        <f>K58/J58</f>
        <v>0.86837673488688494</v>
      </c>
      <c r="F58" s="76">
        <f>O58/W58</f>
        <v>0.74709386500724517</v>
      </c>
      <c r="G58" s="76">
        <v>0.69607600692422444</v>
      </c>
      <c r="H58" s="77">
        <v>5.8045469258230975</v>
      </c>
      <c r="I58" s="78">
        <v>0.59360000000000002</v>
      </c>
      <c r="J58" s="79">
        <v>361623</v>
      </c>
      <c r="K58" s="79">
        <v>314025</v>
      </c>
      <c r="L58" s="80">
        <v>16501786</v>
      </c>
      <c r="M58" s="80">
        <v>70902539</v>
      </c>
      <c r="N58" s="80">
        <v>434989262</v>
      </c>
      <c r="O58" s="80">
        <f t="shared" si="22"/>
        <v>522393587</v>
      </c>
      <c r="P58" s="80">
        <f t="shared" si="23"/>
        <v>4560443</v>
      </c>
      <c r="Q58" s="80">
        <f t="shared" si="24"/>
        <v>48802218</v>
      </c>
      <c r="R58" s="80">
        <f t="shared" si="25"/>
        <v>84932864</v>
      </c>
      <c r="S58" s="80">
        <f t="shared" si="26"/>
        <v>138295525</v>
      </c>
      <c r="T58" s="81">
        <v>30684128</v>
      </c>
      <c r="U58" s="81">
        <v>122069981</v>
      </c>
      <c r="V58" s="81">
        <v>546480099</v>
      </c>
      <c r="W58" s="80">
        <f t="shared" si="27"/>
        <v>699234208</v>
      </c>
      <c r="X58" s="80">
        <v>21062229</v>
      </c>
      <c r="Y58" s="80">
        <v>119704757</v>
      </c>
      <c r="Z58" s="80">
        <v>519922126</v>
      </c>
      <c r="AA58" s="80">
        <f t="shared" si="28"/>
        <v>660689112</v>
      </c>
      <c r="AB58" s="82"/>
      <c r="AC58" s="82"/>
      <c r="AD58" s="82"/>
      <c r="AE58" s="82"/>
      <c r="AF58" s="82"/>
      <c r="AG58" s="82"/>
      <c r="AH58" s="82">
        <v>1</v>
      </c>
      <c r="AI58" s="82"/>
      <c r="AJ58" s="82">
        <v>1</v>
      </c>
      <c r="AK58" s="82"/>
      <c r="AL58" s="82"/>
      <c r="AM58" s="82"/>
      <c r="AN58" s="82"/>
      <c r="AO58" s="58"/>
      <c r="AP58" s="58"/>
      <c r="AQ58" s="58"/>
      <c r="AR58" s="58"/>
      <c r="AS58" s="58"/>
      <c r="AT58" s="58"/>
      <c r="AU58" s="58"/>
      <c r="AV58" s="58"/>
      <c r="AW58" s="58"/>
      <c r="AX58" s="58"/>
      <c r="AY58" s="58"/>
      <c r="AZ58" s="82">
        <f t="shared" si="37"/>
        <v>1</v>
      </c>
      <c r="BA58" s="82">
        <f t="shared" si="37"/>
        <v>0</v>
      </c>
      <c r="BB58" s="82">
        <f t="shared" si="37"/>
        <v>1</v>
      </c>
      <c r="BC58" s="82">
        <f t="shared" si="37"/>
        <v>0</v>
      </c>
      <c r="BD58" s="82">
        <f t="shared" si="37"/>
        <v>0</v>
      </c>
      <c r="BE58" s="82">
        <f t="shared" si="37"/>
        <v>0</v>
      </c>
      <c r="BF58" s="82">
        <f>(1-I58)*X58*(AH58+AI58)/(AZ58+BA58)</f>
        <v>8559689.8655999992</v>
      </c>
      <c r="BG58" s="82">
        <f>(1-I58)*M58*AJ58/M58*(AJ58)/BB58</f>
        <v>0.40639999999999998</v>
      </c>
      <c r="BH58" s="82">
        <f>SUM(BF58:BG58)</f>
        <v>8559690.2719999999</v>
      </c>
      <c r="BI58" s="58">
        <f>2*(AZ58+BA58+BB58+BC58)+BD58+BE58</f>
        <v>4</v>
      </c>
      <c r="BJ58" s="58"/>
      <c r="BK58" s="84">
        <f t="shared" si="29"/>
        <v>0</v>
      </c>
      <c r="BL58" s="58" t="s">
        <v>38</v>
      </c>
      <c r="BM58" s="58">
        <v>58.51</v>
      </c>
    </row>
    <row r="59" spans="1:65" ht="13.8">
      <c r="A59" s="71" t="s">
        <v>37</v>
      </c>
      <c r="B59" s="73" t="s">
        <v>102</v>
      </c>
      <c r="C59" s="74">
        <v>1.2989464158748627</v>
      </c>
      <c r="D59" s="75">
        <v>1.0720245937637243</v>
      </c>
      <c r="E59" s="76">
        <f>K59/J59</f>
        <v>0.93672329266902288</v>
      </c>
      <c r="F59" s="76">
        <f>O59/W59</f>
        <v>0.68800708202718108</v>
      </c>
      <c r="G59" s="76">
        <v>0.72292005892843292</v>
      </c>
      <c r="H59" s="77">
        <v>6.7904451805882911</v>
      </c>
      <c r="I59" s="78">
        <v>0.5</v>
      </c>
      <c r="J59" s="79">
        <v>26313</v>
      </c>
      <c r="K59" s="79">
        <v>24648</v>
      </c>
      <c r="L59" s="80">
        <v>1010394</v>
      </c>
      <c r="M59" s="80">
        <v>4893768</v>
      </c>
      <c r="N59" s="80">
        <v>44582657</v>
      </c>
      <c r="O59" s="80">
        <f t="shared" si="22"/>
        <v>50486819</v>
      </c>
      <c r="P59" s="80">
        <f t="shared" si="23"/>
        <v>415094</v>
      </c>
      <c r="Q59" s="80">
        <f t="shared" si="24"/>
        <v>3690798</v>
      </c>
      <c r="R59" s="80">
        <f t="shared" si="25"/>
        <v>13099730</v>
      </c>
      <c r="S59" s="80">
        <f t="shared" si="26"/>
        <v>17205622</v>
      </c>
      <c r="T59" s="81">
        <v>2393106</v>
      </c>
      <c r="U59" s="81">
        <v>7974876</v>
      </c>
      <c r="V59" s="81">
        <v>63013267</v>
      </c>
      <c r="W59" s="80">
        <f t="shared" si="27"/>
        <v>73381249</v>
      </c>
      <c r="X59" s="80">
        <v>1425488</v>
      </c>
      <c r="Y59" s="80">
        <v>8584566</v>
      </c>
      <c r="Z59" s="80">
        <v>57682387</v>
      </c>
      <c r="AA59" s="80">
        <f t="shared" si="28"/>
        <v>67692441</v>
      </c>
      <c r="AB59" s="82"/>
      <c r="AC59" s="82"/>
      <c r="AD59" s="82"/>
      <c r="AE59" s="82"/>
      <c r="AF59" s="82"/>
      <c r="AG59" s="82"/>
      <c r="AH59" s="82">
        <v>1</v>
      </c>
      <c r="AI59" s="82"/>
      <c r="AJ59" s="82">
        <v>1</v>
      </c>
      <c r="AK59" s="82"/>
      <c r="AL59" s="82"/>
      <c r="AM59" s="82"/>
      <c r="AN59" s="82"/>
      <c r="AO59" s="58"/>
      <c r="AP59" s="58"/>
      <c r="AQ59" s="58"/>
      <c r="AR59" s="58"/>
      <c r="AS59" s="58"/>
      <c r="AT59" s="58"/>
      <c r="AU59" s="58"/>
      <c r="AV59" s="58"/>
      <c r="AW59" s="58"/>
      <c r="AX59" s="58"/>
      <c r="AY59" s="58"/>
      <c r="AZ59" s="82">
        <f t="shared" si="37"/>
        <v>1</v>
      </c>
      <c r="BA59" s="82">
        <f t="shared" si="37"/>
        <v>0</v>
      </c>
      <c r="BB59" s="82">
        <f t="shared" si="37"/>
        <v>1</v>
      </c>
      <c r="BC59" s="82">
        <f t="shared" si="37"/>
        <v>0</v>
      </c>
      <c r="BD59" s="82">
        <f t="shared" si="37"/>
        <v>0</v>
      </c>
      <c r="BE59" s="82">
        <f t="shared" si="37"/>
        <v>0</v>
      </c>
      <c r="BF59" s="82">
        <f>(1-I59)*X59*(AH59+AI59)/(AZ59+BA59)</f>
        <v>712744</v>
      </c>
      <c r="BG59" s="82">
        <f>(1-I59)*M59*AJ59/M59*(AJ59)/BB59</f>
        <v>0.5</v>
      </c>
      <c r="BH59" s="82">
        <f>SUM(BF59:BG59)</f>
        <v>712744.5</v>
      </c>
      <c r="BI59" s="58">
        <f>2*(AZ59+BA59+BB59+BC59)+BD59+BE59</f>
        <v>4</v>
      </c>
      <c r="BJ59" s="58"/>
      <c r="BK59" s="84">
        <f t="shared" si="29"/>
        <v>0</v>
      </c>
      <c r="BL59" s="58" t="s">
        <v>37</v>
      </c>
      <c r="BM59" s="58">
        <v>50</v>
      </c>
    </row>
    <row r="60" spans="1:65">
      <c r="A60" s="58"/>
      <c r="B60" s="72"/>
      <c r="C60" s="72"/>
      <c r="D60" s="72"/>
      <c r="E60" s="72"/>
      <c r="F60" s="72"/>
      <c r="G60" s="72"/>
      <c r="H60" s="72"/>
      <c r="I60" s="58"/>
      <c r="J60" s="85"/>
      <c r="K60" s="85"/>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84">
        <f t="shared" si="29"/>
        <v>0</v>
      </c>
      <c r="BL60" s="58"/>
      <c r="BM60" s="58"/>
    </row>
    <row r="61" spans="1:65">
      <c r="C61" s="37"/>
      <c r="D61" s="37"/>
      <c r="E61" s="37"/>
      <c r="F61" s="37"/>
      <c r="G61" s="37"/>
    </row>
    <row r="62" spans="1:65" ht="16.2">
      <c r="C62" s="37"/>
      <c r="D62" s="37"/>
      <c r="E62" s="37"/>
      <c r="F62" s="37"/>
      <c r="G62" s="37"/>
      <c r="H62" s="38"/>
    </row>
    <row r="63" spans="1:65">
      <c r="C63" s="37"/>
      <c r="D63" s="37"/>
      <c r="E63" s="37"/>
      <c r="F63" s="37"/>
      <c r="G63" s="37"/>
    </row>
    <row r="64" spans="1:65">
      <c r="C64" s="37"/>
      <c r="D64" s="37"/>
      <c r="E64" s="37"/>
      <c r="F64" s="37"/>
      <c r="G64" s="37"/>
    </row>
    <row r="65" spans="3:7">
      <c r="C65" s="37"/>
      <c r="D65" s="37"/>
      <c r="E65" s="37"/>
      <c r="F65" s="37"/>
      <c r="G65" s="37"/>
    </row>
    <row r="66" spans="3:7">
      <c r="C66" s="37"/>
      <c r="D66" s="37"/>
      <c r="E66" s="37"/>
      <c r="F66" s="37"/>
      <c r="G66" s="37"/>
    </row>
    <row r="67" spans="3:7">
      <c r="C67" s="37"/>
      <c r="D67" s="37"/>
      <c r="E67" s="37"/>
      <c r="F67" s="37"/>
      <c r="G67" s="37"/>
    </row>
    <row r="68" spans="3:7">
      <c r="C68" s="37"/>
      <c r="D68" s="37"/>
      <c r="E68" s="37"/>
      <c r="F68" s="37"/>
      <c r="G68" s="37"/>
    </row>
    <row r="69" spans="3:7">
      <c r="C69" s="37"/>
      <c r="D69" s="37"/>
      <c r="E69" s="37"/>
      <c r="F69" s="37"/>
      <c r="G69" s="37"/>
    </row>
    <row r="70" spans="3:7">
      <c r="C70" s="37"/>
      <c r="D70" s="37"/>
      <c r="E70" s="37"/>
      <c r="F70" s="37"/>
      <c r="G70" s="37"/>
    </row>
    <row r="71" spans="3:7">
      <c r="C71" s="37"/>
      <c r="D71" s="37"/>
      <c r="E71" s="37"/>
      <c r="F71" s="37"/>
      <c r="G71" s="37"/>
    </row>
    <row r="72" spans="3:7">
      <c r="C72" s="37"/>
      <c r="D72" s="37"/>
      <c r="E72" s="37"/>
      <c r="F72" s="37"/>
      <c r="G72" s="37"/>
    </row>
    <row r="73" spans="3:7">
      <c r="C73" s="37"/>
      <c r="D73" s="37"/>
      <c r="E73" s="37"/>
      <c r="F73" s="37"/>
      <c r="G73" s="37"/>
    </row>
    <row r="74" spans="3:7">
      <c r="C74" s="37"/>
      <c r="D74" s="37"/>
      <c r="E74" s="37"/>
      <c r="F74" s="37"/>
      <c r="G74" s="37"/>
    </row>
    <row r="75" spans="3:7">
      <c r="C75" s="37"/>
      <c r="D75" s="37"/>
      <c r="E75" s="37"/>
      <c r="F75" s="37"/>
      <c r="G75" s="37"/>
    </row>
    <row r="76" spans="3:7">
      <c r="C76" s="37"/>
      <c r="D76" s="37"/>
      <c r="E76" s="37"/>
      <c r="F76" s="37"/>
      <c r="G76" s="37"/>
    </row>
    <row r="77" spans="3:7">
      <c r="C77" s="37"/>
      <c r="D77" s="37"/>
      <c r="E77" s="37"/>
      <c r="F77" s="37"/>
      <c r="G77" s="37"/>
    </row>
    <row r="78" spans="3:7">
      <c r="C78" s="37"/>
      <c r="D78" s="37"/>
      <c r="E78" s="37"/>
      <c r="F78" s="37"/>
      <c r="G78" s="37"/>
    </row>
    <row r="79" spans="3:7">
      <c r="C79" s="37"/>
      <c r="D79" s="37"/>
      <c r="E79" s="37"/>
      <c r="F79" s="37"/>
      <c r="G79" s="37"/>
    </row>
    <row r="80" spans="3:7">
      <c r="C80" s="37"/>
      <c r="D80" s="37"/>
      <c r="E80" s="37"/>
      <c r="F80" s="37"/>
      <c r="G80" s="37"/>
    </row>
    <row r="81" spans="3:7">
      <c r="C81" s="37"/>
      <c r="D81" s="37"/>
      <c r="E81" s="37"/>
      <c r="F81" s="37"/>
      <c r="G81" s="37"/>
    </row>
    <row r="82" spans="3:7">
      <c r="C82" s="37"/>
      <c r="D82" s="37"/>
      <c r="E82" s="37"/>
      <c r="F82" s="37"/>
      <c r="G82" s="37"/>
    </row>
    <row r="83" spans="3:7">
      <c r="C83" s="37"/>
      <c r="D83" s="37"/>
      <c r="E83" s="37"/>
      <c r="F83" s="37"/>
      <c r="G83" s="37"/>
    </row>
    <row r="84" spans="3:7">
      <c r="C84" s="37"/>
      <c r="D84" s="37"/>
      <c r="E84" s="37"/>
      <c r="F84" s="37"/>
      <c r="G84" s="37"/>
    </row>
    <row r="85" spans="3:7">
      <c r="C85" s="37"/>
      <c r="D85" s="37"/>
      <c r="E85" s="37"/>
      <c r="F85" s="37"/>
      <c r="G85" s="37"/>
    </row>
    <row r="86" spans="3:7">
      <c r="C86" s="37"/>
      <c r="D86" s="37"/>
      <c r="E86" s="37"/>
      <c r="F86" s="37"/>
      <c r="G86" s="37"/>
    </row>
    <row r="87" spans="3:7">
      <c r="C87" s="37"/>
      <c r="D87" s="37"/>
      <c r="E87" s="37"/>
      <c r="F87" s="37"/>
      <c r="G87" s="37"/>
    </row>
    <row r="88" spans="3:7">
      <c r="C88" s="37"/>
      <c r="D88" s="37"/>
      <c r="E88" s="37"/>
      <c r="F88" s="37"/>
      <c r="G88" s="37"/>
    </row>
    <row r="89" spans="3:7">
      <c r="C89" s="37"/>
      <c r="D89" s="37"/>
      <c r="E89" s="37"/>
      <c r="F89" s="37"/>
      <c r="G89" s="37"/>
    </row>
    <row r="90" spans="3:7">
      <c r="C90" s="37"/>
      <c r="D90" s="37"/>
      <c r="E90" s="37"/>
      <c r="F90" s="37"/>
      <c r="G90" s="37"/>
    </row>
    <row r="91" spans="3:7">
      <c r="C91" s="37"/>
      <c r="D91" s="37"/>
      <c r="E91" s="37"/>
      <c r="F91" s="37"/>
      <c r="G91" s="37"/>
    </row>
    <row r="92" spans="3:7">
      <c r="C92" s="37"/>
      <c r="D92" s="37"/>
      <c r="E92" s="37"/>
      <c r="F92" s="37"/>
      <c r="G92" s="37"/>
    </row>
    <row r="93" spans="3:7">
      <c r="C93" s="37"/>
      <c r="D93" s="37"/>
      <c r="E93" s="37"/>
      <c r="F93" s="37"/>
      <c r="G93" s="37"/>
    </row>
    <row r="94" spans="3:7">
      <c r="C94" s="37"/>
      <c r="D94" s="37"/>
      <c r="E94" s="37"/>
      <c r="F94" s="37"/>
      <c r="G94" s="37"/>
    </row>
    <row r="95" spans="3:7">
      <c r="C95" s="37"/>
      <c r="D95" s="37"/>
      <c r="E95" s="37"/>
      <c r="F95" s="37"/>
      <c r="G95" s="37"/>
    </row>
    <row r="96" spans="3:7">
      <c r="C96" s="37"/>
      <c r="D96" s="37"/>
      <c r="E96" s="37"/>
      <c r="F96" s="37"/>
      <c r="G96" s="37"/>
    </row>
    <row r="97" spans="3:7">
      <c r="C97" s="37"/>
      <c r="D97" s="37"/>
      <c r="E97" s="37"/>
      <c r="F97" s="37"/>
      <c r="G97" s="37"/>
    </row>
    <row r="98" spans="3:7">
      <c r="C98" s="37"/>
      <c r="D98" s="37"/>
      <c r="E98" s="37"/>
      <c r="F98" s="37"/>
      <c r="G98" s="37"/>
    </row>
    <row r="99" spans="3:7">
      <c r="C99" s="37"/>
      <c r="D99" s="37"/>
      <c r="E99" s="37"/>
      <c r="F99" s="37"/>
      <c r="G99" s="37"/>
    </row>
    <row r="100" spans="3:7">
      <c r="C100" s="37"/>
      <c r="D100" s="37"/>
      <c r="E100" s="37"/>
      <c r="F100" s="37"/>
      <c r="G100" s="37"/>
    </row>
    <row r="101" spans="3:7">
      <c r="C101" s="37"/>
      <c r="D101" s="37"/>
      <c r="E101" s="37"/>
      <c r="F101" s="37"/>
      <c r="G101" s="37"/>
    </row>
    <row r="102" spans="3:7">
      <c r="C102" s="37"/>
      <c r="D102" s="37"/>
      <c r="E102" s="37"/>
      <c r="F102" s="37"/>
      <c r="G102" s="37"/>
    </row>
    <row r="103" spans="3:7">
      <c r="C103" s="37"/>
      <c r="D103" s="37"/>
      <c r="E103" s="37"/>
      <c r="F103" s="37"/>
      <c r="G103" s="37"/>
    </row>
    <row r="104" spans="3:7">
      <c r="C104" s="37"/>
      <c r="D104" s="37"/>
      <c r="E104" s="37"/>
      <c r="F104" s="37"/>
      <c r="G104" s="37"/>
    </row>
    <row r="105" spans="3:7">
      <c r="C105" s="37"/>
      <c r="D105" s="37"/>
      <c r="E105" s="37"/>
      <c r="F105" s="37"/>
      <c r="G105" s="37"/>
    </row>
    <row r="106" spans="3:7">
      <c r="C106" s="37"/>
      <c r="D106" s="37"/>
      <c r="E106" s="37"/>
      <c r="F106" s="37"/>
      <c r="G106" s="37"/>
    </row>
    <row r="107" spans="3:7">
      <c r="C107" s="37"/>
      <c r="D107" s="37"/>
      <c r="E107" s="37"/>
      <c r="F107" s="37"/>
      <c r="G107" s="37"/>
    </row>
    <row r="108" spans="3:7">
      <c r="C108" s="37"/>
      <c r="D108" s="37"/>
      <c r="E108" s="37"/>
      <c r="F108" s="37"/>
      <c r="G108" s="37"/>
    </row>
    <row r="109" spans="3:7">
      <c r="C109" s="37"/>
      <c r="D109" s="37"/>
      <c r="E109" s="37"/>
      <c r="F109" s="37"/>
      <c r="G109" s="37"/>
    </row>
    <row r="110" spans="3:7">
      <c r="C110" s="37"/>
      <c r="D110" s="37"/>
      <c r="E110" s="37"/>
      <c r="F110" s="37"/>
      <c r="G110" s="37"/>
    </row>
    <row r="111" spans="3:7">
      <c r="C111" s="37"/>
      <c r="D111" s="37"/>
      <c r="E111" s="37"/>
      <c r="F111" s="37"/>
      <c r="G111" s="37"/>
    </row>
    <row r="112" spans="3:7">
      <c r="C112" s="37"/>
      <c r="D112" s="37"/>
      <c r="E112" s="37"/>
      <c r="F112" s="37"/>
      <c r="G112" s="37"/>
    </row>
    <row r="113" spans="3:7">
      <c r="C113" s="37"/>
      <c r="D113" s="37"/>
      <c r="E113" s="37"/>
      <c r="F113" s="37"/>
      <c r="G113" s="37"/>
    </row>
    <row r="114" spans="3:7">
      <c r="C114" s="37"/>
      <c r="D114" s="37"/>
      <c r="E114" s="37"/>
      <c r="F114" s="37"/>
      <c r="G114" s="37"/>
    </row>
    <row r="115" spans="3:7">
      <c r="C115" s="37"/>
      <c r="D115" s="37"/>
      <c r="E115" s="37"/>
      <c r="F115" s="37"/>
      <c r="G115" s="37"/>
    </row>
    <row r="116" spans="3:7">
      <c r="C116" s="37"/>
      <c r="D116" s="37"/>
      <c r="E116" s="37"/>
      <c r="F116" s="37"/>
      <c r="G116" s="37"/>
    </row>
    <row r="117" spans="3:7">
      <c r="C117" s="37"/>
      <c r="D117" s="37"/>
      <c r="E117" s="37"/>
      <c r="F117" s="37"/>
      <c r="G117" s="37"/>
    </row>
    <row r="118" spans="3:7">
      <c r="C118" s="37"/>
      <c r="D118" s="37"/>
      <c r="E118" s="37"/>
      <c r="F118" s="37"/>
      <c r="G118" s="37"/>
    </row>
    <row r="119" spans="3:7">
      <c r="C119" s="37"/>
      <c r="D119" s="37"/>
      <c r="E119" s="37"/>
      <c r="F119" s="37"/>
      <c r="G119" s="37"/>
    </row>
    <row r="120" spans="3:7">
      <c r="C120" s="37"/>
      <c r="D120" s="37"/>
      <c r="E120" s="37"/>
      <c r="F120" s="37"/>
      <c r="G120" s="37"/>
    </row>
    <row r="121" spans="3:7">
      <c r="C121" s="37"/>
      <c r="D121" s="37"/>
      <c r="E121" s="37"/>
      <c r="F121" s="37"/>
      <c r="G121" s="37"/>
    </row>
    <row r="122" spans="3:7">
      <c r="C122" s="37"/>
      <c r="D122" s="37"/>
      <c r="E122" s="37"/>
      <c r="F122" s="37"/>
      <c r="G122" s="37"/>
    </row>
    <row r="123" spans="3:7">
      <c r="C123" s="37"/>
      <c r="D123" s="37"/>
      <c r="E123" s="37"/>
      <c r="F123" s="37"/>
      <c r="G123" s="37"/>
    </row>
    <row r="124" spans="3:7">
      <c r="C124" s="37"/>
      <c r="D124" s="37"/>
      <c r="E124" s="37"/>
      <c r="F124" s="37"/>
      <c r="G124" s="37"/>
    </row>
    <row r="125" spans="3:7">
      <c r="C125" s="37"/>
      <c r="D125" s="37"/>
      <c r="E125" s="37"/>
      <c r="F125" s="37"/>
      <c r="G125" s="37"/>
    </row>
    <row r="126" spans="3:7">
      <c r="C126" s="37"/>
      <c r="D126" s="37"/>
      <c r="E126" s="37"/>
      <c r="F126" s="37"/>
      <c r="G126" s="37"/>
    </row>
    <row r="127" spans="3:7">
      <c r="C127" s="37"/>
      <c r="D127" s="37"/>
      <c r="E127" s="37"/>
      <c r="F127" s="37"/>
      <c r="G127" s="37"/>
    </row>
    <row r="128" spans="3:7">
      <c r="C128" s="37"/>
      <c r="D128" s="37"/>
      <c r="E128" s="37"/>
      <c r="F128" s="37"/>
      <c r="G128" s="37"/>
    </row>
    <row r="129" spans="3:7">
      <c r="C129" s="37"/>
      <c r="D129" s="37"/>
      <c r="E129" s="37"/>
      <c r="F129" s="37"/>
      <c r="G129" s="37"/>
    </row>
    <row r="130" spans="3:7">
      <c r="C130" s="37"/>
      <c r="D130" s="37"/>
      <c r="E130" s="37"/>
      <c r="F130" s="37"/>
      <c r="G130" s="37"/>
    </row>
    <row r="131" spans="3:7">
      <c r="C131" s="37"/>
      <c r="D131" s="37"/>
      <c r="E131" s="37"/>
      <c r="F131" s="37"/>
      <c r="G131" s="37"/>
    </row>
    <row r="132" spans="3:7">
      <c r="C132" s="37"/>
      <c r="D132" s="37"/>
      <c r="E132" s="37"/>
      <c r="F132" s="37"/>
      <c r="G132" s="37"/>
    </row>
    <row r="133" spans="3:7">
      <c r="C133" s="37"/>
      <c r="D133" s="37"/>
      <c r="E133" s="37"/>
      <c r="F133" s="37"/>
      <c r="G133" s="37"/>
    </row>
    <row r="134" spans="3:7">
      <c r="C134" s="37"/>
      <c r="D134" s="37"/>
      <c r="E134" s="37"/>
      <c r="F134" s="37"/>
      <c r="G134" s="37"/>
    </row>
    <row r="135" spans="3:7">
      <c r="C135" s="37"/>
      <c r="D135" s="37"/>
      <c r="E135" s="37"/>
      <c r="F135" s="37"/>
      <c r="G135" s="37"/>
    </row>
    <row r="136" spans="3:7">
      <c r="C136" s="37"/>
      <c r="D136" s="37"/>
      <c r="E136" s="37"/>
      <c r="F136" s="37"/>
      <c r="G136" s="37"/>
    </row>
    <row r="137" spans="3:7">
      <c r="C137" s="37"/>
      <c r="D137" s="37"/>
      <c r="E137" s="37"/>
      <c r="F137" s="37"/>
      <c r="G137" s="37"/>
    </row>
    <row r="138" spans="3:7">
      <c r="C138" s="37"/>
      <c r="D138" s="37"/>
      <c r="E138" s="37"/>
      <c r="F138" s="37"/>
      <c r="G138" s="37"/>
    </row>
    <row r="139" spans="3:7">
      <c r="C139" s="37"/>
      <c r="D139" s="37"/>
      <c r="E139" s="37"/>
      <c r="F139" s="37"/>
      <c r="G139" s="37"/>
    </row>
    <row r="140" spans="3:7">
      <c r="C140" s="37"/>
      <c r="D140" s="37"/>
      <c r="E140" s="37"/>
      <c r="F140" s="37"/>
      <c r="G140" s="37"/>
    </row>
    <row r="141" spans="3:7">
      <c r="C141" s="37"/>
      <c r="D141" s="37"/>
      <c r="E141" s="37"/>
      <c r="F141" s="37"/>
      <c r="G141" s="37"/>
    </row>
    <row r="142" spans="3:7">
      <c r="C142" s="37"/>
      <c r="D142" s="37"/>
      <c r="E142" s="37"/>
      <c r="F142" s="37"/>
      <c r="G142" s="37"/>
    </row>
    <row r="143" spans="3:7">
      <c r="C143" s="37"/>
      <c r="D143" s="37"/>
      <c r="E143" s="37"/>
      <c r="F143" s="37"/>
      <c r="G143" s="37"/>
    </row>
    <row r="144" spans="3:7">
      <c r="C144" s="37"/>
      <c r="D144" s="37"/>
      <c r="E144" s="37"/>
      <c r="F144" s="37"/>
      <c r="G144" s="37"/>
    </row>
    <row r="145" spans="3:7">
      <c r="C145" s="37"/>
      <c r="D145" s="37"/>
      <c r="E145" s="37"/>
      <c r="F145" s="37"/>
      <c r="G145" s="37"/>
    </row>
    <row r="146" spans="3:7">
      <c r="C146" s="37"/>
      <c r="D146" s="37"/>
      <c r="E146" s="37"/>
      <c r="F146" s="37"/>
      <c r="G146" s="37"/>
    </row>
    <row r="147" spans="3:7">
      <c r="C147" s="37"/>
      <c r="D147" s="37"/>
      <c r="E147" s="37"/>
      <c r="F147" s="37"/>
      <c r="G147" s="37"/>
    </row>
    <row r="148" spans="3:7">
      <c r="C148" s="37"/>
      <c r="D148" s="37"/>
      <c r="E148" s="37"/>
      <c r="F148" s="37"/>
      <c r="G148" s="37"/>
    </row>
    <row r="149" spans="3:7">
      <c r="C149" s="37"/>
      <c r="D149" s="37"/>
      <c r="E149" s="37"/>
      <c r="F149" s="37"/>
      <c r="G149" s="37"/>
    </row>
    <row r="150" spans="3:7">
      <c r="C150" s="37"/>
      <c r="D150" s="37"/>
      <c r="E150" s="37"/>
      <c r="F150" s="37"/>
      <c r="G150" s="37"/>
    </row>
    <row r="151" spans="3:7">
      <c r="C151" s="37"/>
      <c r="D151" s="37"/>
      <c r="E151" s="37"/>
      <c r="F151" s="37"/>
      <c r="G151" s="37"/>
    </row>
    <row r="152" spans="3:7">
      <c r="C152" s="37"/>
      <c r="D152" s="37"/>
      <c r="E152" s="37"/>
      <c r="F152" s="37"/>
      <c r="G152" s="37"/>
    </row>
    <row r="153" spans="3:7">
      <c r="C153" s="37"/>
      <c r="D153" s="37"/>
      <c r="E153" s="37"/>
      <c r="F153" s="37"/>
      <c r="G153" s="37"/>
    </row>
    <row r="154" spans="3:7">
      <c r="C154" s="37"/>
      <c r="D154" s="37"/>
      <c r="E154" s="37"/>
      <c r="F154" s="37"/>
      <c r="G154" s="37"/>
    </row>
  </sheetData>
  <mergeCells count="10">
    <mergeCell ref="L3:O3"/>
    <mergeCell ref="P3:S3"/>
    <mergeCell ref="T3:W3"/>
    <mergeCell ref="X3:AA3"/>
    <mergeCell ref="AZ3:BB3"/>
    <mergeCell ref="BF3:BH3"/>
    <mergeCell ref="AB3:AD3"/>
    <mergeCell ref="AH3:AJ3"/>
    <mergeCell ref="AN3:AP3"/>
    <mergeCell ref="AT3:AV3"/>
  </mergeCells>
  <hyperlinks>
    <hyperlink ref="M1" location="'MAIN MENU'!A1" display="MAIN MENU" xr:uid="{1B47066E-49E6-4515-9B21-DE000FDC4375}"/>
    <hyperlink ref="P1" location="'MAIN MENU'!A1" display="MAIN MENU" xr:uid="{361B318A-4AE1-4695-A562-F34E72D29911}"/>
  </hyperlinks>
  <printOptions gridLines="1"/>
  <pageMargins left="0.75" right="0.75" top="1" bottom="1" header="0.5" footer="0.5"/>
  <pageSetup scale="8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0371-EE14-48E9-A47A-1AE287C2C1CA}">
  <dimension ref="A1:I65"/>
  <sheetViews>
    <sheetView workbookViewId="0">
      <selection activeCell="A3" sqref="A3:BM60"/>
    </sheetView>
  </sheetViews>
  <sheetFormatPr defaultRowHeight="13.2"/>
  <cols>
    <col min="1" max="1" width="12.296875" style="1" bestFit="1" customWidth="1"/>
    <col min="2" max="2" width="14.69921875" style="36" customWidth="1"/>
    <col min="3" max="3" width="14.3984375" style="1" customWidth="1"/>
    <col min="4" max="4" width="15.8984375" style="1" customWidth="1"/>
    <col min="5" max="5" width="11.59765625" style="1" bestFit="1" customWidth="1"/>
    <col min="6" max="16384" width="8.796875" style="1"/>
  </cols>
  <sheetData>
    <row r="1" spans="1:9">
      <c r="A1" s="16" t="str">
        <f>Projections!C1</f>
        <v>Virginia</v>
      </c>
      <c r="B1" s="44">
        <f>VLOOKUP($A$1,$A$6:$D$59,2,FALSE)</f>
        <v>1066325470</v>
      </c>
      <c r="C1" s="44" t="str">
        <f>VLOOKUP($A$1,$A$6:$D$59,3,FALSE)</f>
        <v>34A</v>
      </c>
    </row>
    <row r="2" spans="1:9">
      <c r="A2" s="16"/>
      <c r="B2" s="49"/>
    </row>
    <row r="3" spans="1:9">
      <c r="A3" s="16"/>
      <c r="B3" s="49"/>
    </row>
    <row r="4" spans="1:9">
      <c r="A4" s="16"/>
      <c r="B4" s="49"/>
    </row>
    <row r="5" spans="1:9">
      <c r="A5" s="19" t="s">
        <v>100</v>
      </c>
      <c r="B5" s="56" t="s">
        <v>99</v>
      </c>
    </row>
    <row r="6" spans="1:9" ht="13.8">
      <c r="A6" s="19" t="s">
        <v>89</v>
      </c>
      <c r="B6" s="54">
        <v>473647158</v>
      </c>
      <c r="C6" s="55" t="s">
        <v>140</v>
      </c>
      <c r="D6" s="54"/>
      <c r="E6" s="2"/>
      <c r="F6" s="40"/>
      <c r="G6" s="40"/>
      <c r="H6" s="40"/>
      <c r="I6" s="53"/>
    </row>
    <row r="7" spans="1:9" ht="13.8">
      <c r="A7" s="19" t="s">
        <v>88</v>
      </c>
      <c r="B7" s="54">
        <v>140975978</v>
      </c>
      <c r="C7" s="55" t="s">
        <v>140</v>
      </c>
      <c r="D7" s="54"/>
      <c r="E7" s="2"/>
      <c r="F7" s="40"/>
      <c r="G7" s="40"/>
      <c r="H7" s="40"/>
      <c r="I7" s="53"/>
    </row>
    <row r="8" spans="1:9" ht="13.8">
      <c r="A8" s="19" t="s">
        <v>141</v>
      </c>
      <c r="B8" s="54">
        <v>529564088</v>
      </c>
      <c r="C8" s="55" t="s">
        <v>140</v>
      </c>
      <c r="D8" s="54"/>
      <c r="E8" s="2"/>
      <c r="F8" s="40"/>
      <c r="G8" s="40"/>
      <c r="H8" s="40"/>
      <c r="I8" s="53"/>
    </row>
    <row r="9" spans="1:9" ht="13.8">
      <c r="A9" s="19" t="s">
        <v>86</v>
      </c>
      <c r="B9" s="54">
        <v>451079190</v>
      </c>
      <c r="C9" s="55" t="s">
        <v>140</v>
      </c>
      <c r="D9" s="54"/>
      <c r="E9" s="2"/>
      <c r="F9" s="40"/>
      <c r="G9" s="40"/>
      <c r="H9" s="40"/>
      <c r="I9" s="53"/>
    </row>
    <row r="10" spans="1:9" ht="13.8">
      <c r="A10" s="19" t="s">
        <v>85</v>
      </c>
      <c r="B10" s="54">
        <v>3945125020</v>
      </c>
      <c r="C10" s="55" t="s">
        <v>140</v>
      </c>
      <c r="D10" s="54"/>
      <c r="E10" s="2"/>
      <c r="F10" s="40"/>
      <c r="G10" s="40"/>
      <c r="H10" s="40"/>
      <c r="I10" s="53"/>
    </row>
    <row r="11" spans="1:9" ht="13.8">
      <c r="A11" s="19" t="s">
        <v>84</v>
      </c>
      <c r="B11" s="54">
        <v>464549343</v>
      </c>
      <c r="C11" s="55" t="s">
        <v>140</v>
      </c>
      <c r="D11" s="54"/>
      <c r="E11" s="2"/>
      <c r="F11" s="40"/>
      <c r="G11" s="40"/>
      <c r="H11" s="40"/>
      <c r="I11" s="53"/>
    </row>
    <row r="12" spans="1:9" ht="13.8">
      <c r="A12" s="19" t="s">
        <v>83</v>
      </c>
      <c r="B12" s="54">
        <v>452212815</v>
      </c>
      <c r="C12" s="55" t="s">
        <v>140</v>
      </c>
      <c r="D12" s="54"/>
      <c r="E12" s="2"/>
      <c r="F12" s="40"/>
      <c r="G12" s="40"/>
      <c r="H12" s="40"/>
      <c r="I12" s="53"/>
    </row>
    <row r="13" spans="1:9" ht="13.8">
      <c r="A13" s="19" t="s">
        <v>82</v>
      </c>
      <c r="B13" s="54">
        <v>129635313</v>
      </c>
      <c r="C13" s="55" t="s">
        <v>140</v>
      </c>
      <c r="D13" s="54"/>
      <c r="E13" s="2"/>
      <c r="F13" s="40"/>
      <c r="G13" s="40"/>
      <c r="H13" s="40"/>
      <c r="I13" s="53"/>
    </row>
    <row r="14" spans="1:9" ht="13.8">
      <c r="A14" s="19" t="s">
        <v>81</v>
      </c>
      <c r="B14" s="54">
        <v>452212815</v>
      </c>
      <c r="C14" s="55" t="s">
        <v>140</v>
      </c>
      <c r="D14" s="54"/>
      <c r="E14" s="2"/>
      <c r="F14" s="40"/>
      <c r="G14" s="40"/>
      <c r="H14" s="40"/>
      <c r="I14" s="53"/>
    </row>
    <row r="15" spans="1:9" ht="13.8">
      <c r="A15" s="19" t="s">
        <v>80</v>
      </c>
      <c r="B15" s="54">
        <v>2965371801</v>
      </c>
      <c r="C15" s="55" t="s">
        <v>140</v>
      </c>
      <c r="D15" s="54"/>
      <c r="E15" s="2"/>
      <c r="F15" s="40"/>
      <c r="G15" s="40"/>
      <c r="H15" s="40"/>
      <c r="I15" s="53"/>
    </row>
    <row r="16" spans="1:9" ht="13.8">
      <c r="A16" s="19" t="s">
        <v>79</v>
      </c>
      <c r="B16" s="54">
        <v>1323466227</v>
      </c>
      <c r="C16" s="55" t="s">
        <v>140</v>
      </c>
      <c r="D16" s="54"/>
      <c r="E16" s="2"/>
      <c r="F16" s="40"/>
      <c r="G16" s="40"/>
      <c r="H16" s="40"/>
      <c r="I16" s="53"/>
    </row>
    <row r="17" spans="1:9" ht="13.8">
      <c r="A17" s="19" t="s">
        <v>78</v>
      </c>
      <c r="B17" s="54">
        <v>0</v>
      </c>
      <c r="C17" s="55" t="s">
        <v>140</v>
      </c>
      <c r="D17" s="54"/>
      <c r="E17" s="2"/>
      <c r="F17" s="40"/>
      <c r="G17" s="40"/>
      <c r="H17" s="40"/>
      <c r="I17" s="53"/>
    </row>
    <row r="18" spans="1:9" ht="13.8">
      <c r="A18" s="19" t="s">
        <v>77</v>
      </c>
      <c r="B18" s="54">
        <v>150166248</v>
      </c>
      <c r="C18" s="55" t="s">
        <v>140</v>
      </c>
      <c r="D18" s="54"/>
      <c r="E18" s="2"/>
      <c r="F18" s="40"/>
      <c r="G18" s="40"/>
      <c r="H18" s="40"/>
      <c r="I18" s="53"/>
    </row>
    <row r="19" spans="1:9" ht="13.8">
      <c r="A19" s="19" t="s">
        <v>76</v>
      </c>
      <c r="B19" s="54">
        <v>320207029</v>
      </c>
      <c r="C19" s="55" t="s">
        <v>140</v>
      </c>
      <c r="D19" s="54"/>
      <c r="E19" s="2"/>
      <c r="F19" s="40"/>
      <c r="G19" s="40"/>
      <c r="H19" s="40"/>
      <c r="I19" s="53"/>
    </row>
    <row r="20" spans="1:9" ht="13.8">
      <c r="A20" s="19" t="s">
        <v>33</v>
      </c>
      <c r="B20" s="54">
        <v>1268273020</v>
      </c>
      <c r="C20" s="55" t="s">
        <v>140</v>
      </c>
      <c r="D20" s="54"/>
      <c r="E20" s="2"/>
      <c r="F20" s="40"/>
      <c r="G20" s="40"/>
      <c r="H20" s="40"/>
      <c r="I20" s="53"/>
    </row>
    <row r="21" spans="1:9" ht="13.8">
      <c r="A21" s="19" t="s">
        <v>75</v>
      </c>
      <c r="B21" s="54">
        <v>980541756</v>
      </c>
      <c r="C21" s="55" t="s">
        <v>140</v>
      </c>
      <c r="D21" s="54"/>
      <c r="E21" s="2"/>
      <c r="F21" s="40"/>
      <c r="G21" s="40"/>
      <c r="H21" s="40"/>
      <c r="I21" s="53"/>
    </row>
    <row r="22" spans="1:9" ht="13.8">
      <c r="A22" s="19" t="s">
        <v>74</v>
      </c>
      <c r="B22" s="54">
        <v>574979988</v>
      </c>
      <c r="C22" s="55" t="s">
        <v>140</v>
      </c>
      <c r="D22" s="54"/>
      <c r="E22" s="2"/>
      <c r="F22" s="40"/>
      <c r="G22" s="40"/>
      <c r="H22" s="40"/>
      <c r="I22" s="53"/>
    </row>
    <row r="23" spans="1:9" ht="13.8">
      <c r="A23" s="19" t="s">
        <v>73</v>
      </c>
      <c r="B23" s="54">
        <v>394629338</v>
      </c>
      <c r="C23" s="55" t="s">
        <v>140</v>
      </c>
      <c r="D23" s="54"/>
      <c r="E23" s="2"/>
      <c r="F23" s="40"/>
      <c r="G23" s="40"/>
      <c r="H23" s="40"/>
      <c r="I23" s="53"/>
    </row>
    <row r="24" spans="1:9" ht="13.8">
      <c r="A24" s="19" t="s">
        <v>72</v>
      </c>
      <c r="B24" s="54">
        <v>621314795</v>
      </c>
      <c r="C24" s="55" t="s">
        <v>140</v>
      </c>
      <c r="D24" s="54"/>
      <c r="E24" s="2"/>
      <c r="F24" s="40"/>
      <c r="G24" s="40"/>
      <c r="H24" s="40"/>
      <c r="I24" s="53"/>
    </row>
    <row r="25" spans="1:9" ht="13.8">
      <c r="A25" s="19" t="s">
        <v>71</v>
      </c>
      <c r="B25" s="54">
        <v>772805451</v>
      </c>
      <c r="C25" s="55" t="s">
        <v>140</v>
      </c>
      <c r="D25" s="54"/>
      <c r="E25" s="2"/>
      <c r="F25" s="40"/>
      <c r="G25" s="40"/>
      <c r="H25" s="40"/>
      <c r="I25" s="53"/>
    </row>
    <row r="26" spans="1:9" ht="13.8">
      <c r="A26" s="19" t="s">
        <v>70</v>
      </c>
      <c r="B26" s="54">
        <v>174627697</v>
      </c>
      <c r="C26" s="55" t="s">
        <v>140</v>
      </c>
      <c r="D26" s="54"/>
      <c r="E26" s="2"/>
      <c r="F26" s="40"/>
      <c r="G26" s="40"/>
      <c r="H26" s="40"/>
      <c r="I26" s="53"/>
    </row>
    <row r="27" spans="1:9" ht="13.8">
      <c r="A27" s="19" t="s">
        <v>69</v>
      </c>
      <c r="B27" s="54">
        <v>921821406</v>
      </c>
      <c r="C27" s="55" t="s">
        <v>140</v>
      </c>
      <c r="D27" s="54"/>
      <c r="E27" s="2"/>
      <c r="F27" s="40"/>
      <c r="G27" s="40"/>
      <c r="H27" s="40"/>
      <c r="I27" s="53"/>
    </row>
    <row r="28" spans="1:9" ht="13.8">
      <c r="A28" s="19" t="s">
        <v>68</v>
      </c>
      <c r="B28" s="54">
        <v>848568551</v>
      </c>
      <c r="C28" s="55" t="s">
        <v>140</v>
      </c>
      <c r="D28" s="54"/>
      <c r="E28" s="2"/>
      <c r="F28" s="40"/>
      <c r="G28" s="40"/>
      <c r="H28" s="40"/>
      <c r="I28" s="53"/>
    </row>
    <row r="29" spans="1:9" ht="13.8">
      <c r="A29" s="19" t="s">
        <v>67</v>
      </c>
      <c r="B29" s="54">
        <v>2206192747</v>
      </c>
      <c r="C29" s="55" t="s">
        <v>140</v>
      </c>
      <c r="D29" s="54"/>
      <c r="E29" s="2"/>
      <c r="F29" s="40"/>
      <c r="G29" s="40"/>
      <c r="H29" s="40"/>
      <c r="I29" s="53"/>
    </row>
    <row r="30" spans="1:9" ht="13.8">
      <c r="A30" s="19" t="s">
        <v>66</v>
      </c>
      <c r="B30" s="54">
        <v>981447097</v>
      </c>
      <c r="C30" s="55" t="s">
        <v>140</v>
      </c>
      <c r="D30" s="54"/>
      <c r="E30" s="2"/>
      <c r="F30" s="40"/>
      <c r="G30" s="40"/>
      <c r="H30" s="40"/>
      <c r="I30" s="53"/>
    </row>
    <row r="31" spans="1:9" ht="13.8">
      <c r="A31" s="19" t="s">
        <v>65</v>
      </c>
      <c r="B31" s="54">
        <v>492944871</v>
      </c>
      <c r="C31" s="55" t="s">
        <v>140</v>
      </c>
      <c r="D31" s="54"/>
      <c r="E31" s="2"/>
      <c r="F31" s="40"/>
      <c r="G31" s="40"/>
      <c r="H31" s="40"/>
      <c r="I31" s="53"/>
    </row>
    <row r="32" spans="1:9" ht="13.8">
      <c r="A32" s="19" t="s">
        <v>64</v>
      </c>
      <c r="B32" s="54">
        <v>1000915603</v>
      </c>
      <c r="C32" s="55" t="s">
        <v>140</v>
      </c>
      <c r="D32" s="54"/>
      <c r="E32" s="2"/>
      <c r="F32" s="40"/>
      <c r="G32" s="40"/>
      <c r="H32" s="40"/>
      <c r="I32" s="53"/>
    </row>
    <row r="33" spans="1:9" ht="13.8">
      <c r="A33" s="19" t="s">
        <v>63</v>
      </c>
      <c r="B33" s="54">
        <v>101282938</v>
      </c>
      <c r="C33" s="55" t="s">
        <v>140</v>
      </c>
      <c r="D33" s="54"/>
      <c r="E33" s="2"/>
      <c r="F33" s="40"/>
      <c r="G33" s="40"/>
      <c r="H33" s="40"/>
      <c r="I33" s="53"/>
    </row>
    <row r="34" spans="1:9" ht="13.8">
      <c r="A34" s="19" t="s">
        <v>62</v>
      </c>
      <c r="B34" s="54">
        <v>392980523</v>
      </c>
      <c r="C34" s="55" t="s">
        <v>140</v>
      </c>
      <c r="D34" s="54"/>
      <c r="E34" s="2"/>
      <c r="F34" s="40"/>
      <c r="G34" s="40"/>
      <c r="H34" s="40"/>
      <c r="I34" s="53"/>
    </row>
    <row r="35" spans="1:9" ht="13.8">
      <c r="A35" s="19" t="s">
        <v>61</v>
      </c>
      <c r="B35" s="54">
        <v>322086268</v>
      </c>
      <c r="C35" s="55" t="s">
        <v>140</v>
      </c>
      <c r="D35" s="54"/>
      <c r="E35" s="2"/>
      <c r="F35" s="40"/>
      <c r="G35" s="40"/>
      <c r="H35" s="40"/>
      <c r="I35" s="53"/>
    </row>
    <row r="36" spans="1:9" ht="13.8">
      <c r="A36" s="19" t="s">
        <v>60</v>
      </c>
      <c r="B36" s="54">
        <v>135511567</v>
      </c>
      <c r="C36" s="55" t="s">
        <v>140</v>
      </c>
      <c r="D36" s="54"/>
      <c r="E36" s="2"/>
      <c r="F36" s="40"/>
      <c r="G36" s="40"/>
      <c r="H36" s="40"/>
      <c r="I36" s="53"/>
    </row>
    <row r="37" spans="1:9" ht="13.8">
      <c r="A37" s="19" t="s">
        <v>59</v>
      </c>
      <c r="B37" s="54">
        <v>1372079761</v>
      </c>
      <c r="C37" s="55" t="s">
        <v>140</v>
      </c>
      <c r="D37" s="54"/>
      <c r="E37" s="2"/>
      <c r="F37" s="40"/>
      <c r="G37" s="40"/>
      <c r="H37" s="40"/>
      <c r="I37" s="53"/>
    </row>
    <row r="38" spans="1:9" ht="13.8">
      <c r="A38" s="19" t="s">
        <v>58</v>
      </c>
      <c r="B38" s="54">
        <v>211029734</v>
      </c>
      <c r="C38" s="55" t="s">
        <v>140</v>
      </c>
      <c r="D38" s="54"/>
      <c r="E38" s="2"/>
      <c r="F38" s="40"/>
      <c r="G38" s="40"/>
      <c r="H38" s="40"/>
      <c r="I38" s="53"/>
    </row>
    <row r="39" spans="1:9" ht="13.8">
      <c r="A39" s="19" t="s">
        <v>57</v>
      </c>
      <c r="B39" s="54">
        <v>2844016913</v>
      </c>
      <c r="C39" s="55" t="s">
        <v>140</v>
      </c>
      <c r="D39" s="54"/>
      <c r="E39" s="2"/>
      <c r="F39" s="40"/>
      <c r="G39" s="40"/>
      <c r="H39" s="40"/>
      <c r="I39" s="53"/>
    </row>
    <row r="40" spans="1:9" ht="13.8">
      <c r="A40" s="19" t="s">
        <v>56</v>
      </c>
      <c r="B40" s="54">
        <v>1217087714</v>
      </c>
      <c r="C40" s="55" t="s">
        <v>140</v>
      </c>
      <c r="D40" s="54"/>
      <c r="E40" s="2"/>
      <c r="F40" s="40"/>
      <c r="G40" s="40"/>
      <c r="H40" s="40"/>
      <c r="I40" s="53"/>
    </row>
    <row r="41" spans="1:9" ht="13.8">
      <c r="A41" s="19" t="s">
        <v>55</v>
      </c>
      <c r="B41" s="54">
        <v>162982827</v>
      </c>
      <c r="C41" s="55" t="s">
        <v>140</v>
      </c>
      <c r="D41" s="54"/>
      <c r="E41" s="2"/>
      <c r="F41" s="40"/>
      <c r="G41" s="40"/>
      <c r="H41" s="40"/>
      <c r="I41" s="53"/>
    </row>
    <row r="42" spans="1:9" ht="13.8">
      <c r="A42" s="19" t="s">
        <v>54</v>
      </c>
      <c r="B42" s="54">
        <v>162982827</v>
      </c>
      <c r="C42" s="55" t="s">
        <v>140</v>
      </c>
      <c r="D42" s="54"/>
      <c r="E42" s="2"/>
      <c r="F42" s="40"/>
      <c r="G42" s="40"/>
      <c r="H42" s="40"/>
      <c r="I42" s="53"/>
    </row>
    <row r="43" spans="1:9" ht="13.8">
      <c r="A43" s="19" t="s">
        <v>53</v>
      </c>
      <c r="B43" s="54">
        <v>656772722</v>
      </c>
      <c r="C43" s="55" t="s">
        <v>140</v>
      </c>
      <c r="D43" s="54"/>
      <c r="E43" s="2"/>
      <c r="F43" s="40"/>
      <c r="G43" s="40"/>
      <c r="H43" s="40"/>
      <c r="I43" s="53"/>
    </row>
    <row r="44" spans="1:9" ht="13.8">
      <c r="A44" s="19" t="s">
        <v>52</v>
      </c>
      <c r="B44" s="54">
        <v>567622078</v>
      </c>
      <c r="C44" s="55" t="s">
        <v>140</v>
      </c>
      <c r="D44" s="54"/>
      <c r="E44" s="2"/>
      <c r="F44" s="40"/>
      <c r="G44" s="40"/>
      <c r="H44" s="40"/>
      <c r="I44" s="53"/>
    </row>
    <row r="45" spans="1:9" ht="13.8">
      <c r="A45" s="19" t="s">
        <v>51</v>
      </c>
      <c r="B45" s="54">
        <v>1954989585</v>
      </c>
      <c r="C45" s="55" t="s">
        <v>140</v>
      </c>
      <c r="D45" s="54"/>
      <c r="E45" s="2"/>
      <c r="F45" s="40"/>
      <c r="G45" s="40"/>
      <c r="H45" s="40"/>
      <c r="I45" s="53"/>
    </row>
    <row r="46" spans="1:9" ht="13.8">
      <c r="A46" s="19" t="s">
        <v>50</v>
      </c>
      <c r="B46" s="54">
        <v>0</v>
      </c>
      <c r="C46" s="55" t="s">
        <v>140</v>
      </c>
      <c r="D46" s="54"/>
      <c r="E46" s="2"/>
      <c r="F46" s="40"/>
      <c r="G46" s="40"/>
      <c r="H46" s="40"/>
      <c r="I46" s="53"/>
    </row>
    <row r="47" spans="1:9" ht="13.8">
      <c r="A47" s="19" t="s">
        <v>49</v>
      </c>
      <c r="B47" s="54">
        <v>129543518</v>
      </c>
      <c r="C47" s="55" t="s">
        <v>140</v>
      </c>
      <c r="D47" s="54"/>
      <c r="E47" s="2"/>
      <c r="F47" s="40"/>
      <c r="G47" s="40"/>
      <c r="H47" s="40"/>
      <c r="I47" s="53"/>
    </row>
    <row r="48" spans="1:9" ht="13.8">
      <c r="A48" s="19" t="s">
        <v>48</v>
      </c>
      <c r="B48" s="54">
        <v>485318989</v>
      </c>
      <c r="C48" s="55" t="s">
        <v>140</v>
      </c>
      <c r="D48" s="54"/>
      <c r="E48" s="2"/>
      <c r="F48" s="40"/>
      <c r="G48" s="40"/>
      <c r="H48" s="40"/>
      <c r="I48" s="53"/>
    </row>
    <row r="49" spans="1:9" ht="13.8">
      <c r="A49" s="19" t="s">
        <v>47</v>
      </c>
      <c r="B49" s="54">
        <v>177452686</v>
      </c>
      <c r="C49" s="55" t="s">
        <v>140</v>
      </c>
      <c r="D49" s="54"/>
      <c r="E49" s="2"/>
      <c r="F49" s="40"/>
      <c r="G49" s="40"/>
      <c r="H49" s="40"/>
      <c r="I49" s="53"/>
    </row>
    <row r="50" spans="1:9" ht="13.8">
      <c r="A50" s="19" t="s">
        <v>46</v>
      </c>
      <c r="B50" s="54">
        <v>1058838322</v>
      </c>
      <c r="C50" s="55" t="s">
        <v>140</v>
      </c>
      <c r="D50" s="54"/>
      <c r="E50" s="2"/>
      <c r="F50" s="40"/>
      <c r="G50" s="40"/>
      <c r="H50" s="40"/>
      <c r="I50" s="53"/>
    </row>
    <row r="51" spans="1:9" ht="13.8">
      <c r="A51" s="19" t="s">
        <v>45</v>
      </c>
      <c r="B51" s="54">
        <v>6981485190</v>
      </c>
      <c r="C51" s="55" t="s">
        <v>140</v>
      </c>
      <c r="D51" s="54"/>
      <c r="E51" s="2"/>
      <c r="F51" s="40"/>
      <c r="G51" s="40"/>
      <c r="H51" s="40"/>
      <c r="I51" s="53"/>
    </row>
    <row r="52" spans="1:9" ht="13.8">
      <c r="A52" s="19" t="s">
        <v>44</v>
      </c>
      <c r="B52" s="54">
        <v>384663271</v>
      </c>
      <c r="C52" s="55" t="s">
        <v>140</v>
      </c>
      <c r="D52" s="54"/>
      <c r="E52" s="2"/>
      <c r="F52" s="40"/>
      <c r="G52" s="40"/>
      <c r="H52" s="40"/>
      <c r="I52" s="53"/>
    </row>
    <row r="53" spans="1:9" ht="13.8">
      <c r="A53" s="19" t="s">
        <v>43</v>
      </c>
      <c r="B53" s="54">
        <v>66826367</v>
      </c>
      <c r="C53" s="55" t="s">
        <v>140</v>
      </c>
      <c r="D53" s="54"/>
      <c r="E53" s="2"/>
      <c r="F53" s="40"/>
      <c r="G53" s="40"/>
      <c r="H53" s="40"/>
      <c r="I53" s="53"/>
    </row>
    <row r="54" spans="1:9" ht="13.8">
      <c r="A54" s="19" t="s">
        <v>42</v>
      </c>
      <c r="B54" s="54">
        <v>0</v>
      </c>
      <c r="C54" s="55" t="s">
        <v>140</v>
      </c>
      <c r="D54" s="54"/>
      <c r="E54" s="2"/>
      <c r="F54" s="40"/>
      <c r="G54" s="40"/>
      <c r="H54" s="40"/>
      <c r="I54" s="53"/>
    </row>
    <row r="55" spans="1:9" ht="13.8">
      <c r="A55" s="19" t="s">
        <v>41</v>
      </c>
      <c r="B55" s="54">
        <v>1066325470</v>
      </c>
      <c r="C55" s="55" t="s">
        <v>140</v>
      </c>
      <c r="D55" s="54"/>
      <c r="E55" s="2"/>
      <c r="F55" s="40"/>
      <c r="G55" s="40"/>
      <c r="H55" s="40"/>
      <c r="I55" s="53"/>
    </row>
    <row r="56" spans="1:9" ht="13.8">
      <c r="A56" s="19" t="s">
        <v>40</v>
      </c>
      <c r="B56" s="54">
        <v>1093511367</v>
      </c>
      <c r="C56" s="55" t="s">
        <v>140</v>
      </c>
      <c r="D56" s="54"/>
      <c r="E56" s="2"/>
      <c r="F56" s="40"/>
      <c r="G56" s="40"/>
      <c r="H56" s="40"/>
      <c r="I56" s="53"/>
    </row>
    <row r="57" spans="1:9" ht="13.8">
      <c r="A57" s="19" t="s">
        <v>39</v>
      </c>
      <c r="B57" s="54">
        <v>307958043</v>
      </c>
      <c r="C57" s="55" t="s">
        <v>140</v>
      </c>
      <c r="D57" s="54"/>
      <c r="E57" s="2"/>
      <c r="F57" s="40"/>
      <c r="G57" s="40"/>
      <c r="H57" s="40"/>
      <c r="I57" s="53"/>
    </row>
    <row r="58" spans="1:9" ht="13.8">
      <c r="A58" s="19" t="s">
        <v>38</v>
      </c>
      <c r="B58" s="54">
        <v>1190116999</v>
      </c>
      <c r="C58" s="55" t="s">
        <v>140</v>
      </c>
      <c r="D58" s="54"/>
      <c r="E58" s="2"/>
      <c r="F58" s="40"/>
      <c r="G58" s="40"/>
      <c r="H58" s="40"/>
      <c r="I58" s="53"/>
    </row>
    <row r="59" spans="1:9" ht="13.8">
      <c r="A59" s="19" t="s">
        <v>37</v>
      </c>
      <c r="B59" s="54">
        <v>94907829</v>
      </c>
      <c r="C59" s="55" t="s">
        <v>140</v>
      </c>
      <c r="D59" s="54"/>
      <c r="E59" s="2"/>
      <c r="F59" s="40"/>
      <c r="G59" s="40"/>
      <c r="H59" s="40"/>
      <c r="I59" s="53"/>
    </row>
    <row r="60" spans="1:9">
      <c r="A60" s="52"/>
      <c r="B60" s="51"/>
      <c r="D60" s="51"/>
    </row>
    <row r="61" spans="1:9" ht="13.8">
      <c r="A61" s="16"/>
      <c r="B61" s="50"/>
      <c r="D61" s="23"/>
    </row>
    <row r="62" spans="1:9">
      <c r="A62" s="1" t="s">
        <v>139</v>
      </c>
      <c r="B62" s="50"/>
    </row>
    <row r="63" spans="1:9">
      <c r="A63" s="19"/>
      <c r="B63" s="50"/>
    </row>
    <row r="64" spans="1:9">
      <c r="B64" s="50"/>
    </row>
    <row r="65" spans="2:2">
      <c r="B65" s="49"/>
    </row>
  </sheetData>
  <conditionalFormatting sqref="F6:F59">
    <cfRule type="top10" dxfId="2" priority="3" bottom="1" rank="10"/>
  </conditionalFormatting>
  <conditionalFormatting sqref="I6:I59">
    <cfRule type="top10" dxfId="1" priority="1" bottom="1" rank="10"/>
    <cfRule type="top10" dxfId="0" priority="2" rank="10"/>
  </conditionalFormatting>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1F36-C23F-4249-860D-850FEA6FADAE}">
  <dimension ref="A1:G20"/>
  <sheetViews>
    <sheetView workbookViewId="0">
      <selection activeCell="E20" sqref="A1:E20"/>
    </sheetView>
  </sheetViews>
  <sheetFormatPr defaultRowHeight="13.2"/>
  <cols>
    <col min="1" max="1" width="8.796875" style="1"/>
    <col min="2" max="2" width="10.8984375" style="1" bestFit="1" customWidth="1"/>
    <col min="3" max="4" width="8.796875" style="1"/>
    <col min="5" max="5" width="9.09765625" style="1" bestFit="1" customWidth="1"/>
    <col min="6" max="6" width="12.19921875" style="1" bestFit="1" customWidth="1"/>
    <col min="7" max="7" width="9" style="1" bestFit="1" customWidth="1"/>
    <col min="8" max="16384" width="8.796875" style="1"/>
  </cols>
  <sheetData>
    <row r="1" spans="1:7">
      <c r="A1" s="60">
        <f>Projections!C2</f>
        <v>2018</v>
      </c>
      <c r="B1" s="60">
        <f>VLOOKUP($A$1,$A$4:$C$19,2,FALSE)</f>
        <v>575000000</v>
      </c>
      <c r="C1" s="60">
        <f>VLOOKUP($A$1,$A$4:$C$19,3,FALSE)</f>
        <v>0</v>
      </c>
      <c r="D1" s="60"/>
      <c r="E1" s="58"/>
    </row>
    <row r="2" spans="1:7">
      <c r="A2" s="60"/>
      <c r="B2" s="60"/>
      <c r="C2" s="60"/>
      <c r="D2" s="60"/>
      <c r="E2" s="58"/>
    </row>
    <row r="3" spans="1:7" ht="39.6">
      <c r="A3" s="61" t="s">
        <v>32</v>
      </c>
      <c r="B3" s="61" t="s">
        <v>20</v>
      </c>
      <c r="C3" s="61" t="s">
        <v>143</v>
      </c>
      <c r="D3" s="61"/>
      <c r="E3" s="61" t="s">
        <v>142</v>
      </c>
    </row>
    <row r="4" spans="1:7">
      <c r="A4" s="62">
        <v>2005</v>
      </c>
      <c r="B4" s="63">
        <v>446000000</v>
      </c>
      <c r="C4" s="64">
        <v>0</v>
      </c>
      <c r="D4" s="60"/>
      <c r="E4" s="58"/>
    </row>
    <row r="5" spans="1:7" ht="13.8">
      <c r="A5" s="58">
        <v>2006</v>
      </c>
      <c r="B5" s="63">
        <v>458000000</v>
      </c>
      <c r="C5" s="64">
        <v>0</v>
      </c>
      <c r="D5" s="65"/>
      <c r="E5" s="66">
        <f t="shared" ref="E5:E14" si="0">B5/B4-1</f>
        <v>2.6905829596412634E-2</v>
      </c>
    </row>
    <row r="6" spans="1:7" ht="13.8">
      <c r="A6" s="58">
        <v>2007</v>
      </c>
      <c r="B6" s="63">
        <v>471000000</v>
      </c>
      <c r="C6" s="58">
        <v>0</v>
      </c>
      <c r="D6" s="58"/>
      <c r="E6" s="66">
        <f t="shared" si="0"/>
        <v>2.8384279475982543E-2</v>
      </c>
    </row>
    <row r="7" spans="1:7" ht="13.8">
      <c r="A7" s="58">
        <v>2008</v>
      </c>
      <c r="B7" s="63">
        <v>483000000</v>
      </c>
      <c r="C7" s="65">
        <v>0</v>
      </c>
      <c r="D7" s="60"/>
      <c r="E7" s="66">
        <f t="shared" si="0"/>
        <v>2.5477707006369421E-2</v>
      </c>
    </row>
    <row r="8" spans="1:7" ht="13.8">
      <c r="A8" s="58">
        <v>2009</v>
      </c>
      <c r="B8" s="67">
        <v>504000000</v>
      </c>
      <c r="C8" s="65">
        <v>0</v>
      </c>
      <c r="D8" s="58"/>
      <c r="E8" s="66">
        <f t="shared" si="0"/>
        <v>4.3478260869565188E-2</v>
      </c>
    </row>
    <row r="9" spans="1:7" ht="13.8">
      <c r="A9" s="58">
        <v>2010</v>
      </c>
      <c r="B9" s="67">
        <v>504000000</v>
      </c>
      <c r="C9" s="58">
        <v>0</v>
      </c>
      <c r="D9" s="58"/>
      <c r="E9" s="66">
        <f t="shared" si="0"/>
        <v>0</v>
      </c>
    </row>
    <row r="10" spans="1:7" ht="13.8">
      <c r="A10" s="58">
        <v>2011</v>
      </c>
      <c r="B10" s="67">
        <v>513000000</v>
      </c>
      <c r="C10" s="58">
        <v>0</v>
      </c>
      <c r="D10" s="58"/>
      <c r="E10" s="66">
        <f t="shared" si="0"/>
        <v>1.7857142857142794E-2</v>
      </c>
    </row>
    <row r="11" spans="1:7" ht="13.8">
      <c r="A11" s="58">
        <v>2012</v>
      </c>
      <c r="B11" s="67">
        <v>526000000</v>
      </c>
      <c r="C11" s="58">
        <v>0</v>
      </c>
      <c r="D11" s="58"/>
      <c r="E11" s="66">
        <f t="shared" si="0"/>
        <v>2.5341130604288553E-2</v>
      </c>
    </row>
    <row r="12" spans="1:7" ht="13.8">
      <c r="A12" s="58">
        <v>2013</v>
      </c>
      <c r="B12" s="67">
        <v>538000000</v>
      </c>
      <c r="C12" s="65">
        <v>0</v>
      </c>
      <c r="D12" s="58"/>
      <c r="E12" s="66">
        <f t="shared" si="0"/>
        <v>2.281368821292773E-2</v>
      </c>
      <c r="G12" s="40"/>
    </row>
    <row r="13" spans="1:7" ht="13.8">
      <c r="A13" s="58">
        <v>2014</v>
      </c>
      <c r="B13" s="67">
        <v>547000000</v>
      </c>
      <c r="C13" s="58">
        <v>0</v>
      </c>
      <c r="D13" s="58"/>
      <c r="E13" s="66">
        <f t="shared" si="0"/>
        <v>1.6728624535315983E-2</v>
      </c>
    </row>
    <row r="14" spans="1:7" ht="13.8">
      <c r="A14" s="58">
        <v>2015</v>
      </c>
      <c r="B14" s="67">
        <v>556000000</v>
      </c>
      <c r="C14" s="58">
        <v>0</v>
      </c>
      <c r="D14" s="58"/>
      <c r="E14" s="66">
        <f t="shared" si="0"/>
        <v>1.6453382084095081E-2</v>
      </c>
      <c r="F14" s="57"/>
    </row>
    <row r="15" spans="1:7" ht="13.8">
      <c r="A15" s="58">
        <v>2016</v>
      </c>
      <c r="B15" s="67">
        <v>558000000</v>
      </c>
      <c r="C15" s="58">
        <v>0</v>
      </c>
      <c r="D15" s="58"/>
      <c r="E15" s="66">
        <v>3.1068796250981467E-3</v>
      </c>
    </row>
    <row r="16" spans="1:7" ht="13.8">
      <c r="A16" s="58">
        <v>2017</v>
      </c>
      <c r="B16" s="67">
        <v>564000000</v>
      </c>
      <c r="C16" s="65">
        <v>0</v>
      </c>
      <c r="D16" s="58"/>
      <c r="E16" s="66">
        <v>9.2822664358949147E-3</v>
      </c>
    </row>
    <row r="17" spans="1:5" ht="13.8">
      <c r="A17" s="58">
        <v>2018</v>
      </c>
      <c r="B17" s="67">
        <v>575000000</v>
      </c>
      <c r="C17" s="58">
        <v>0</v>
      </c>
      <c r="D17" s="58"/>
      <c r="E17" s="66">
        <v>2.051497748207276E-2</v>
      </c>
    </row>
    <row r="18" spans="1:5" ht="13.8">
      <c r="A18" s="58">
        <v>2019</v>
      </c>
      <c r="B18" s="67">
        <f>ROUND(B17*(1+E18),-6)</f>
        <v>586000000</v>
      </c>
      <c r="C18" s="65">
        <v>0</v>
      </c>
      <c r="D18" s="58"/>
      <c r="E18" s="66">
        <f>AVERAGE(E$5:E17)</f>
        <v>1.9718782214243519E-2</v>
      </c>
    </row>
    <row r="19" spans="1:5" ht="13.8">
      <c r="A19" s="58">
        <v>2020</v>
      </c>
      <c r="B19" s="67">
        <f>ROUND(B18*(1+E19),-6)</f>
        <v>598000000</v>
      </c>
      <c r="C19" s="58">
        <v>1</v>
      </c>
      <c r="D19" s="58"/>
      <c r="E19" s="66">
        <f>AVERAGE(E$5:E18)</f>
        <v>1.9718782214243519E-2</v>
      </c>
    </row>
    <row r="20" spans="1:5">
      <c r="A20" s="58"/>
      <c r="B20" s="58"/>
      <c r="C20" s="58"/>
      <c r="D20" s="58"/>
      <c r="E20" s="58"/>
    </row>
  </sheetData>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28E27-75B8-4CCE-B138-5BC2A46820D5}">
  <dimension ref="A1:H47"/>
  <sheetViews>
    <sheetView workbookViewId="0">
      <selection sqref="A1:H47"/>
    </sheetView>
  </sheetViews>
  <sheetFormatPr defaultRowHeight="13.2"/>
  <cols>
    <col min="1" max="16384" width="8.796875" style="1"/>
  </cols>
  <sheetData>
    <row r="1" spans="1:8">
      <c r="A1" s="58"/>
      <c r="B1" s="58"/>
      <c r="C1" s="58"/>
      <c r="D1" s="58"/>
      <c r="E1" s="58"/>
      <c r="F1" s="58"/>
      <c r="G1" s="58"/>
      <c r="H1" s="58"/>
    </row>
    <row r="2" spans="1:8">
      <c r="A2" s="58"/>
      <c r="B2" s="162" t="s">
        <v>149</v>
      </c>
      <c r="C2" s="162"/>
      <c r="D2" s="162"/>
      <c r="E2" s="58"/>
      <c r="F2" s="58" t="s">
        <v>148</v>
      </c>
      <c r="G2" s="58"/>
      <c r="H2" s="58"/>
    </row>
    <row r="3" spans="1:8">
      <c r="A3" s="58"/>
      <c r="B3" s="59" t="s">
        <v>147</v>
      </c>
      <c r="C3" s="59" t="s">
        <v>146</v>
      </c>
      <c r="D3" s="59" t="s">
        <v>145</v>
      </c>
      <c r="E3" s="58"/>
      <c r="F3" s="59" t="s">
        <v>147</v>
      </c>
      <c r="G3" s="59" t="s">
        <v>146</v>
      </c>
      <c r="H3" s="59" t="s">
        <v>145</v>
      </c>
    </row>
    <row r="4" spans="1:8">
      <c r="A4" s="58"/>
      <c r="B4" s="59">
        <v>0</v>
      </c>
      <c r="C4" s="59">
        <v>0.5</v>
      </c>
      <c r="D4" s="59">
        <v>0</v>
      </c>
      <c r="E4" s="58"/>
      <c r="F4" s="59">
        <v>0</v>
      </c>
      <c r="G4" s="59">
        <v>0.4</v>
      </c>
      <c r="H4" s="59">
        <v>0</v>
      </c>
    </row>
    <row r="5" spans="1:8">
      <c r="A5" s="58"/>
      <c r="B5" s="58">
        <v>0.5</v>
      </c>
      <c r="C5" s="58">
        <v>0.51</v>
      </c>
      <c r="D5" s="59">
        <v>0.6</v>
      </c>
      <c r="E5" s="58"/>
      <c r="F5" s="58">
        <v>0.4</v>
      </c>
      <c r="G5" s="58">
        <v>0.41</v>
      </c>
      <c r="H5" s="58">
        <v>0.5</v>
      </c>
    </row>
    <row r="6" spans="1:8">
      <c r="A6" s="58"/>
      <c r="B6" s="58">
        <v>0.51</v>
      </c>
      <c r="C6" s="58">
        <v>0.52</v>
      </c>
      <c r="D6" s="59">
        <v>0.61</v>
      </c>
      <c r="E6" s="58"/>
      <c r="F6" s="58">
        <v>0.41</v>
      </c>
      <c r="G6" s="58">
        <v>0.42</v>
      </c>
      <c r="H6" s="58">
        <v>0.51</v>
      </c>
    </row>
    <row r="7" spans="1:8">
      <c r="A7" s="58"/>
      <c r="B7" s="58">
        <v>0.52</v>
      </c>
      <c r="C7" s="58">
        <v>0.53</v>
      </c>
      <c r="D7" s="59">
        <v>0.62</v>
      </c>
      <c r="E7" s="58"/>
      <c r="F7" s="58">
        <v>0.42</v>
      </c>
      <c r="G7" s="58">
        <v>0.43</v>
      </c>
      <c r="H7" s="58">
        <v>0.52</v>
      </c>
    </row>
    <row r="8" spans="1:8">
      <c r="A8" s="58"/>
      <c r="B8" s="58">
        <v>0.53</v>
      </c>
      <c r="C8" s="58">
        <v>0.54</v>
      </c>
      <c r="D8" s="59">
        <v>0.63</v>
      </c>
      <c r="E8" s="58"/>
      <c r="F8" s="58">
        <v>0.43</v>
      </c>
      <c r="G8" s="58">
        <v>0.44</v>
      </c>
      <c r="H8" s="58">
        <v>0.53</v>
      </c>
    </row>
    <row r="9" spans="1:8">
      <c r="A9" s="58"/>
      <c r="B9" s="58">
        <v>0.54</v>
      </c>
      <c r="C9" s="58">
        <v>0.55000000000000004</v>
      </c>
      <c r="D9" s="59">
        <v>0.64</v>
      </c>
      <c r="E9" s="58"/>
      <c r="F9" s="58">
        <v>0.44</v>
      </c>
      <c r="G9" s="58">
        <v>0.45</v>
      </c>
      <c r="H9" s="58">
        <v>0.54</v>
      </c>
    </row>
    <row r="10" spans="1:8">
      <c r="A10" s="58"/>
      <c r="B10" s="58">
        <v>0.55000000000000004</v>
      </c>
      <c r="C10" s="58">
        <v>0.56000000000000005</v>
      </c>
      <c r="D10" s="59">
        <v>0.65</v>
      </c>
      <c r="E10" s="58"/>
      <c r="F10" s="58">
        <v>0.45</v>
      </c>
      <c r="G10" s="58">
        <v>0.46</v>
      </c>
      <c r="H10" s="58">
        <v>0.55000000000000004</v>
      </c>
    </row>
    <row r="11" spans="1:8">
      <c r="A11" s="58"/>
      <c r="B11" s="58">
        <v>0.56000000000000005</v>
      </c>
      <c r="C11" s="58">
        <v>0.56999999999999995</v>
      </c>
      <c r="D11" s="59">
        <v>0.66</v>
      </c>
      <c r="E11" s="58"/>
      <c r="F11" s="58">
        <v>0.46</v>
      </c>
      <c r="G11" s="58">
        <v>0.47</v>
      </c>
      <c r="H11" s="58">
        <v>0.56000000000000005</v>
      </c>
    </row>
    <row r="12" spans="1:8">
      <c r="A12" s="58"/>
      <c r="B12" s="58">
        <v>0.56999999999999995</v>
      </c>
      <c r="C12" s="58">
        <v>0.57999999999999996</v>
      </c>
      <c r="D12" s="59">
        <v>0.67</v>
      </c>
      <c r="E12" s="58"/>
      <c r="F12" s="58">
        <v>0.47</v>
      </c>
      <c r="G12" s="58">
        <v>0.48</v>
      </c>
      <c r="H12" s="58">
        <v>0.56999999999999995</v>
      </c>
    </row>
    <row r="13" spans="1:8">
      <c r="A13" s="58"/>
      <c r="B13" s="58">
        <v>0.57999999999999996</v>
      </c>
      <c r="C13" s="58">
        <v>0.59</v>
      </c>
      <c r="D13" s="59">
        <v>0.68</v>
      </c>
      <c r="E13" s="58"/>
      <c r="F13" s="58">
        <v>0.48</v>
      </c>
      <c r="G13" s="58">
        <v>0.49</v>
      </c>
      <c r="H13" s="58">
        <v>0.57999999999999996</v>
      </c>
    </row>
    <row r="14" spans="1:8">
      <c r="A14" s="58"/>
      <c r="B14" s="58">
        <v>0.59</v>
      </c>
      <c r="C14" s="58">
        <v>0.6</v>
      </c>
      <c r="D14" s="59">
        <v>0.69</v>
      </c>
      <c r="E14" s="58"/>
      <c r="F14" s="58">
        <v>0.49</v>
      </c>
      <c r="G14" s="58">
        <v>0.5</v>
      </c>
      <c r="H14" s="58">
        <v>0.59</v>
      </c>
    </row>
    <row r="15" spans="1:8">
      <c r="A15" s="58"/>
      <c r="B15" s="58">
        <v>0.6</v>
      </c>
      <c r="C15" s="58">
        <v>0.61</v>
      </c>
      <c r="D15" s="59">
        <v>0.7</v>
      </c>
      <c r="E15" s="58"/>
      <c r="F15" s="58">
        <v>0.5</v>
      </c>
      <c r="G15" s="58">
        <v>0.51</v>
      </c>
      <c r="H15" s="58">
        <v>0.6</v>
      </c>
    </row>
    <row r="16" spans="1:8">
      <c r="A16" s="58"/>
      <c r="B16" s="58">
        <v>0.61</v>
      </c>
      <c r="C16" s="58">
        <v>0.62</v>
      </c>
      <c r="D16" s="59">
        <v>0.71</v>
      </c>
      <c r="E16" s="58"/>
      <c r="F16" s="58">
        <v>0.51</v>
      </c>
      <c r="G16" s="58">
        <v>0.52</v>
      </c>
      <c r="H16" s="58">
        <v>0.61</v>
      </c>
    </row>
    <row r="17" spans="1:8">
      <c r="A17" s="58"/>
      <c r="B17" s="58">
        <v>0.62</v>
      </c>
      <c r="C17" s="58">
        <v>0.63</v>
      </c>
      <c r="D17" s="59">
        <v>0.72</v>
      </c>
      <c r="E17" s="58"/>
      <c r="F17" s="58">
        <v>0.52</v>
      </c>
      <c r="G17" s="58">
        <v>0.53</v>
      </c>
      <c r="H17" s="58">
        <v>0.62</v>
      </c>
    </row>
    <row r="18" spans="1:8">
      <c r="A18" s="58"/>
      <c r="B18" s="58">
        <v>0.63</v>
      </c>
      <c r="C18" s="58">
        <v>0.64</v>
      </c>
      <c r="D18" s="59">
        <v>0.73</v>
      </c>
      <c r="E18" s="58"/>
      <c r="F18" s="58">
        <v>0.53</v>
      </c>
      <c r="G18" s="58">
        <v>0.54</v>
      </c>
      <c r="H18" s="58">
        <v>0.63</v>
      </c>
    </row>
    <row r="19" spans="1:8">
      <c r="A19" s="58"/>
      <c r="B19" s="58">
        <v>0.64</v>
      </c>
      <c r="C19" s="58">
        <v>0.65</v>
      </c>
      <c r="D19" s="59">
        <v>0.74</v>
      </c>
      <c r="E19" s="58"/>
      <c r="F19" s="58">
        <v>0.54</v>
      </c>
      <c r="G19" s="58">
        <v>0.55000000000000004</v>
      </c>
      <c r="H19" s="58">
        <v>0.64</v>
      </c>
    </row>
    <row r="20" spans="1:8">
      <c r="A20" s="58"/>
      <c r="B20" s="58">
        <v>0.65</v>
      </c>
      <c r="C20" s="58">
        <v>0.66</v>
      </c>
      <c r="D20" s="59">
        <v>0.75</v>
      </c>
      <c r="E20" s="58"/>
      <c r="F20" s="58">
        <v>0.55000000000000004</v>
      </c>
      <c r="G20" s="58">
        <v>0.56000000000000005</v>
      </c>
      <c r="H20" s="58">
        <v>0.65</v>
      </c>
    </row>
    <row r="21" spans="1:8">
      <c r="A21" s="58"/>
      <c r="B21" s="58">
        <v>0.66</v>
      </c>
      <c r="C21" s="58">
        <v>0.67</v>
      </c>
      <c r="D21" s="59">
        <v>0.76</v>
      </c>
      <c r="E21" s="58"/>
      <c r="F21" s="58">
        <v>0.56000000000000005</v>
      </c>
      <c r="G21" s="58">
        <v>0.56999999999999995</v>
      </c>
      <c r="H21" s="58">
        <v>0.66</v>
      </c>
    </row>
    <row r="22" spans="1:8">
      <c r="A22" s="58"/>
      <c r="B22" s="58">
        <v>0.67</v>
      </c>
      <c r="C22" s="58">
        <v>0.68</v>
      </c>
      <c r="D22" s="59">
        <v>0.77</v>
      </c>
      <c r="E22" s="58"/>
      <c r="F22" s="58">
        <v>0.56999999999999995</v>
      </c>
      <c r="G22" s="58">
        <v>0.57999999999999996</v>
      </c>
      <c r="H22" s="58">
        <v>0.67</v>
      </c>
    </row>
    <row r="23" spans="1:8">
      <c r="A23" s="58"/>
      <c r="B23" s="58">
        <v>0.68</v>
      </c>
      <c r="C23" s="58">
        <v>0.69</v>
      </c>
      <c r="D23" s="59">
        <v>0.78</v>
      </c>
      <c r="E23" s="58"/>
      <c r="F23" s="58">
        <v>0.57999999999999996</v>
      </c>
      <c r="G23" s="58">
        <v>0.59</v>
      </c>
      <c r="H23" s="58">
        <v>0.68</v>
      </c>
    </row>
    <row r="24" spans="1:8">
      <c r="A24" s="58"/>
      <c r="B24" s="58">
        <v>0.69</v>
      </c>
      <c r="C24" s="58">
        <v>0.7</v>
      </c>
      <c r="D24" s="59">
        <v>0.79</v>
      </c>
      <c r="E24" s="58"/>
      <c r="F24" s="58">
        <v>0.59</v>
      </c>
      <c r="G24" s="58">
        <v>0.6</v>
      </c>
      <c r="H24" s="58">
        <v>0.69</v>
      </c>
    </row>
    <row r="25" spans="1:8">
      <c r="A25" s="58"/>
      <c r="B25" s="58">
        <v>0.7</v>
      </c>
      <c r="C25" s="58">
        <v>0.71</v>
      </c>
      <c r="D25" s="59">
        <v>0.8</v>
      </c>
      <c r="E25" s="58"/>
      <c r="F25" s="58">
        <v>0.6</v>
      </c>
      <c r="G25" s="58">
        <v>0.61</v>
      </c>
      <c r="H25" s="58">
        <v>0.7</v>
      </c>
    </row>
    <row r="26" spans="1:8">
      <c r="A26" s="58"/>
      <c r="B26" s="58">
        <v>0.71</v>
      </c>
      <c r="C26" s="58">
        <v>0.72</v>
      </c>
      <c r="D26" s="59">
        <v>0.82</v>
      </c>
      <c r="E26" s="58"/>
      <c r="F26" s="58">
        <v>0.61</v>
      </c>
      <c r="G26" s="58">
        <v>0.62</v>
      </c>
      <c r="H26" s="58">
        <v>0.71</v>
      </c>
    </row>
    <row r="27" spans="1:8">
      <c r="A27" s="58"/>
      <c r="B27" s="58">
        <v>0.72</v>
      </c>
      <c r="C27" s="58">
        <v>0.73</v>
      </c>
      <c r="D27" s="59">
        <v>0.84</v>
      </c>
      <c r="E27" s="58"/>
      <c r="F27" s="58">
        <v>0.62</v>
      </c>
      <c r="G27" s="58">
        <v>0.63</v>
      </c>
      <c r="H27" s="58">
        <v>0.72</v>
      </c>
    </row>
    <row r="28" spans="1:8">
      <c r="A28" s="58"/>
      <c r="B28" s="58">
        <v>0.73</v>
      </c>
      <c r="C28" s="58">
        <v>0.74</v>
      </c>
      <c r="D28" s="59">
        <v>0.86</v>
      </c>
      <c r="E28" s="58"/>
      <c r="F28" s="58">
        <v>0.63</v>
      </c>
      <c r="G28" s="58">
        <v>0.64</v>
      </c>
      <c r="H28" s="58">
        <v>0.73</v>
      </c>
    </row>
    <row r="29" spans="1:8">
      <c r="A29" s="58"/>
      <c r="B29" s="58">
        <v>0.74</v>
      </c>
      <c r="C29" s="58">
        <v>0.75</v>
      </c>
      <c r="D29" s="59">
        <v>0.88</v>
      </c>
      <c r="E29" s="58"/>
      <c r="F29" s="58">
        <v>0.64</v>
      </c>
      <c r="G29" s="58">
        <v>0.65</v>
      </c>
      <c r="H29" s="58">
        <v>0.74</v>
      </c>
    </row>
    <row r="30" spans="1:8">
      <c r="A30" s="58"/>
      <c r="B30" s="58">
        <v>0.75</v>
      </c>
      <c r="C30" s="58">
        <v>0.76</v>
      </c>
      <c r="D30" s="59">
        <v>0.9</v>
      </c>
      <c r="E30" s="58"/>
      <c r="F30" s="58">
        <v>0.65</v>
      </c>
      <c r="G30" s="58">
        <v>0.66</v>
      </c>
      <c r="H30" s="58">
        <v>0.75</v>
      </c>
    </row>
    <row r="31" spans="1:8">
      <c r="A31" s="58"/>
      <c r="B31" s="58">
        <v>0.76</v>
      </c>
      <c r="C31" s="58">
        <v>0.77</v>
      </c>
      <c r="D31" s="59">
        <v>0.92</v>
      </c>
      <c r="E31" s="58"/>
      <c r="F31" s="58">
        <v>0.66</v>
      </c>
      <c r="G31" s="58">
        <v>0.67</v>
      </c>
      <c r="H31" s="58">
        <v>0.76</v>
      </c>
    </row>
    <row r="32" spans="1:8">
      <c r="A32" s="58"/>
      <c r="B32" s="58">
        <v>0.77</v>
      </c>
      <c r="C32" s="58">
        <v>0.78</v>
      </c>
      <c r="D32" s="59">
        <v>0.94</v>
      </c>
      <c r="E32" s="58"/>
      <c r="F32" s="58">
        <v>0.67</v>
      </c>
      <c r="G32" s="58">
        <v>0.68</v>
      </c>
      <c r="H32" s="58">
        <v>0.77</v>
      </c>
    </row>
    <row r="33" spans="1:8">
      <c r="A33" s="58"/>
      <c r="B33" s="58">
        <v>0.78</v>
      </c>
      <c r="C33" s="58">
        <v>0.79</v>
      </c>
      <c r="D33" s="59">
        <v>0.96</v>
      </c>
      <c r="E33" s="58"/>
      <c r="F33" s="58">
        <v>0.68</v>
      </c>
      <c r="G33" s="58">
        <v>0.69</v>
      </c>
      <c r="H33" s="58">
        <v>0.78</v>
      </c>
    </row>
    <row r="34" spans="1:8">
      <c r="A34" s="58"/>
      <c r="B34" s="58">
        <v>0.79</v>
      </c>
      <c r="C34" s="58">
        <v>0.8</v>
      </c>
      <c r="D34" s="59">
        <v>0.98</v>
      </c>
      <c r="E34" s="58"/>
      <c r="F34" s="58">
        <v>0.69</v>
      </c>
      <c r="G34" s="58">
        <v>0.7</v>
      </c>
      <c r="H34" s="58">
        <v>0.79</v>
      </c>
    </row>
    <row r="35" spans="1:8">
      <c r="A35" s="58"/>
      <c r="B35" s="58">
        <v>0.8</v>
      </c>
      <c r="C35" s="58"/>
      <c r="D35" s="59">
        <v>1</v>
      </c>
      <c r="E35" s="58"/>
      <c r="F35" s="58">
        <v>0.7</v>
      </c>
      <c r="G35" s="58">
        <v>0.71</v>
      </c>
      <c r="H35" s="58">
        <v>0.8</v>
      </c>
    </row>
    <row r="36" spans="1:8">
      <c r="A36" s="58"/>
      <c r="B36" s="58"/>
      <c r="C36" s="58"/>
      <c r="D36" s="58"/>
      <c r="E36" s="58"/>
      <c r="F36" s="58">
        <v>0.71</v>
      </c>
      <c r="G36" s="58">
        <v>0.72</v>
      </c>
      <c r="H36" s="58">
        <v>0.82</v>
      </c>
    </row>
    <row r="37" spans="1:8">
      <c r="A37" s="58"/>
      <c r="B37" s="58"/>
      <c r="C37" s="58"/>
      <c r="D37" s="58"/>
      <c r="E37" s="58"/>
      <c r="F37" s="58">
        <v>0.72</v>
      </c>
      <c r="G37" s="58">
        <v>0.73</v>
      </c>
      <c r="H37" s="58">
        <v>0.84</v>
      </c>
    </row>
    <row r="38" spans="1:8">
      <c r="A38" s="58"/>
      <c r="B38" s="58" t="s">
        <v>144</v>
      </c>
      <c r="C38" s="58"/>
      <c r="D38" s="58"/>
      <c r="E38" s="58"/>
      <c r="F38" s="58">
        <v>0.73</v>
      </c>
      <c r="G38" s="58">
        <v>0.74</v>
      </c>
      <c r="H38" s="58">
        <v>0.86</v>
      </c>
    </row>
    <row r="39" spans="1:8">
      <c r="A39" s="58"/>
      <c r="B39" s="58">
        <v>0</v>
      </c>
      <c r="C39" s="58">
        <v>2</v>
      </c>
      <c r="D39" s="58">
        <v>0</v>
      </c>
      <c r="E39" s="58"/>
      <c r="F39" s="58">
        <v>0.74</v>
      </c>
      <c r="G39" s="58">
        <v>0.75</v>
      </c>
      <c r="H39" s="58">
        <v>0.88</v>
      </c>
    </row>
    <row r="40" spans="1:8">
      <c r="A40" s="58"/>
      <c r="B40" s="58">
        <v>2</v>
      </c>
      <c r="C40" s="58">
        <v>2.5</v>
      </c>
      <c r="D40" s="58">
        <v>0.4</v>
      </c>
      <c r="E40" s="58"/>
      <c r="F40" s="58">
        <v>0.75</v>
      </c>
      <c r="G40" s="58">
        <v>0.76</v>
      </c>
      <c r="H40" s="58">
        <v>0.9</v>
      </c>
    </row>
    <row r="41" spans="1:8">
      <c r="A41" s="58"/>
      <c r="B41" s="58">
        <v>2.5</v>
      </c>
      <c r="C41" s="58">
        <v>3</v>
      </c>
      <c r="D41" s="58">
        <v>0.5</v>
      </c>
      <c r="E41" s="58"/>
      <c r="F41" s="58">
        <v>0.76</v>
      </c>
      <c r="G41" s="58">
        <v>0.77</v>
      </c>
      <c r="H41" s="58">
        <v>0.92</v>
      </c>
    </row>
    <row r="42" spans="1:8">
      <c r="A42" s="58"/>
      <c r="B42" s="58">
        <v>3</v>
      </c>
      <c r="C42" s="58">
        <v>3.5</v>
      </c>
      <c r="D42" s="58">
        <v>0.6</v>
      </c>
      <c r="E42" s="58"/>
      <c r="F42" s="58">
        <v>0.77</v>
      </c>
      <c r="G42" s="58">
        <v>0.78</v>
      </c>
      <c r="H42" s="58">
        <v>0.94</v>
      </c>
    </row>
    <row r="43" spans="1:8">
      <c r="A43" s="58"/>
      <c r="B43" s="58">
        <v>3.5</v>
      </c>
      <c r="C43" s="58">
        <v>4</v>
      </c>
      <c r="D43" s="58">
        <v>0.7</v>
      </c>
      <c r="E43" s="58"/>
      <c r="F43" s="58">
        <v>0.78</v>
      </c>
      <c r="G43" s="58">
        <v>0.79</v>
      </c>
      <c r="H43" s="58">
        <v>0.96</v>
      </c>
    </row>
    <row r="44" spans="1:8">
      <c r="A44" s="58"/>
      <c r="B44" s="58">
        <v>4</v>
      </c>
      <c r="C44" s="58">
        <v>4.5</v>
      </c>
      <c r="D44" s="58">
        <v>0.8</v>
      </c>
      <c r="E44" s="58"/>
      <c r="F44" s="58">
        <v>0.79</v>
      </c>
      <c r="G44" s="58">
        <v>0.8</v>
      </c>
      <c r="H44" s="58">
        <v>0.98</v>
      </c>
    </row>
    <row r="45" spans="1:8">
      <c r="A45" s="58"/>
      <c r="B45" s="58">
        <v>4.5</v>
      </c>
      <c r="C45" s="58">
        <v>5</v>
      </c>
      <c r="D45" s="58">
        <v>0.9</v>
      </c>
      <c r="E45" s="58"/>
      <c r="F45" s="58">
        <v>0.8</v>
      </c>
      <c r="G45" s="58"/>
      <c r="H45" s="58">
        <v>1</v>
      </c>
    </row>
    <row r="46" spans="1:8">
      <c r="A46" s="58"/>
      <c r="B46" s="58">
        <v>5</v>
      </c>
      <c r="C46" s="58"/>
      <c r="D46" s="58">
        <v>1</v>
      </c>
      <c r="E46" s="58"/>
      <c r="F46" s="58"/>
      <c r="G46" s="58"/>
      <c r="H46" s="58"/>
    </row>
    <row r="47" spans="1:8">
      <c r="A47" s="58"/>
      <c r="B47" s="58"/>
      <c r="C47" s="58"/>
      <c r="D47" s="58"/>
      <c r="E47" s="58"/>
      <c r="F47" s="58"/>
      <c r="G47" s="58"/>
      <c r="H47" s="58"/>
    </row>
  </sheetData>
  <mergeCells count="1">
    <mergeCell ref="B2:D2"/>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Projections</vt:lpstr>
      <vt:lpstr>Model</vt:lpstr>
      <vt:lpstr>State Performance Input Sheet</vt:lpstr>
      <vt:lpstr>State Collections input sheet</vt:lpstr>
      <vt:lpstr>National Incentive Pool</vt:lpstr>
      <vt:lpstr>Scoring Sheet</vt:lpstr>
      <vt:lpstr>'State Performance Input Sheet'!Print_Area</vt:lpstr>
      <vt:lpstr>Projections!Print_Titles</vt:lpstr>
    </vt:vector>
  </TitlesOfParts>
  <Company>PSI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Dunn/MAXIMUS</dc:creator>
  <cp:lastModifiedBy>James Dunn/MAXIMUS</cp:lastModifiedBy>
  <cp:lastPrinted>2019-12-04T22:09:20Z</cp:lastPrinted>
  <dcterms:created xsi:type="dcterms:W3CDTF">2014-10-14T23:12:19Z</dcterms:created>
  <dcterms:modified xsi:type="dcterms:W3CDTF">2019-12-05T14:51:09Z</dcterms:modified>
</cp:coreProperties>
</file>